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50" activeTab="0"/>
  </bookViews>
  <sheets>
    <sheet name="KA 155,170 Jun01 Mod2" sheetId="1" r:id="rId1"/>
  </sheets>
  <externalReferences>
    <externalReference r:id="rId4"/>
    <externalReference r:id="rId5"/>
  </externalReferences>
  <definedNames>
    <definedName name="activecell" localSheetId="0">'KA 155,170 Jun01 Mod2'!$B$1</definedName>
    <definedName name="activecell">#REF!</definedName>
    <definedName name="CRITERIA" localSheetId="0">'KA 155,170 Jun01 Mod2'!#REF!</definedName>
    <definedName name="Criteria2">'[2]KA 155,170 Jun99'!#REF!</definedName>
    <definedName name="newcell">'[1]K''MOANA 125,140 Sep-Oct 98'!$B$1</definedName>
    <definedName name="_xlnm.Print_Area" localSheetId="0">'KA 155,170 Jun01 Mod2'!$A$1:$O$72</definedName>
  </definedNames>
  <calcPr fullCalcOnLoad="1"/>
</workbook>
</file>

<file path=xl/sharedStrings.xml><?xml version="1.0" encoding="utf-8"?>
<sst xmlns="http://schemas.openxmlformats.org/spreadsheetml/2006/main" count="235" uniqueCount="78">
  <si>
    <t>NOAA SHIP KA'IMIMOANA</t>
  </si>
  <si>
    <t>Activity</t>
  </si>
  <si>
    <t xml:space="preserve">Latitude  </t>
  </si>
  <si>
    <t xml:space="preserve">Longitude </t>
  </si>
  <si>
    <t>Deployed</t>
  </si>
  <si>
    <t>Dist.</t>
  </si>
  <si>
    <t>Speed</t>
  </si>
  <si>
    <t>Transit</t>
  </si>
  <si>
    <t>On Sta</t>
  </si>
  <si>
    <t>Arrive</t>
  </si>
  <si>
    <t>Depart</t>
  </si>
  <si>
    <t>Cumulative</t>
  </si>
  <si>
    <t>SWAP</t>
  </si>
  <si>
    <t>DEPLOY</t>
  </si>
  <si>
    <t>LAT</t>
  </si>
  <si>
    <t>LONG</t>
  </si>
  <si>
    <t>Deg.</t>
  </si>
  <si>
    <t>Min</t>
  </si>
  <si>
    <t>Min.</t>
  </si>
  <si>
    <t>(mos)</t>
  </si>
  <si>
    <t>(nmi)</t>
  </si>
  <si>
    <t>(kts)</t>
  </si>
  <si>
    <t>(hrs)</t>
  </si>
  <si>
    <t>Date / Time</t>
  </si>
  <si>
    <t>(days)</t>
  </si>
  <si>
    <t>RECOVER</t>
  </si>
  <si>
    <t>VISIT</t>
  </si>
  <si>
    <t>REPAIR</t>
  </si>
  <si>
    <t>OUT</t>
  </si>
  <si>
    <t>ONLY</t>
  </si>
  <si>
    <t>CORR</t>
  </si>
  <si>
    <t>AT SITE</t>
  </si>
  <si>
    <t>LAST RECOV</t>
  </si>
  <si>
    <t>DIFFERENCE</t>
  </si>
  <si>
    <t>HONOLULU</t>
  </si>
  <si>
    <t>N</t>
  </si>
  <si>
    <t>W</t>
  </si>
  <si>
    <t>CTD</t>
  </si>
  <si>
    <t>R</t>
  </si>
  <si>
    <t xml:space="preserve"> </t>
  </si>
  <si>
    <t>S</t>
  </si>
  <si>
    <t>V</t>
  </si>
  <si>
    <t>KWAJALEIN</t>
  </si>
  <si>
    <t>E</t>
  </si>
  <si>
    <t>~ DAYS AT SEA ~</t>
  </si>
  <si>
    <t>155W LINE =</t>
  </si>
  <si>
    <t>Days</t>
  </si>
  <si>
    <t>Hono - 8N/155W =</t>
  </si>
  <si>
    <t>170W LINE =</t>
  </si>
  <si>
    <t>155W - 170W =</t>
  </si>
  <si>
    <t>RECOVER TAUTLINE NEXT GEN =</t>
  </si>
  <si>
    <t>TRANSIT =</t>
  </si>
  <si>
    <t>8N/170W - Kwaj =</t>
  </si>
  <si>
    <t>DEPLOY TAUTLINE NEXT GEN =</t>
  </si>
  <si>
    <t>TOTALS =</t>
  </si>
  <si>
    <t>Total Distance =</t>
  </si>
  <si>
    <t>RECOVER / DEPLOY SUBSURFACE ADCP =</t>
  </si>
  <si>
    <t>** ALL TIMES ARE HAWAIIAN STANDARD TIME (HST) **</t>
  </si>
  <si>
    <t>** NOT ADJUSTED FOR DATELINE CROSSING **</t>
  </si>
  <si>
    <t>VISITS STD ATLAS (2) &amp; TAUT-NG (2) =</t>
  </si>
  <si>
    <t>DEPLOY SOLO DRIFTER BUOYS =</t>
  </si>
  <si>
    <t>R E</t>
  </si>
  <si>
    <t>ECOVER/DEPLOY MBARI TAUT-NG (INSERT/FAIRED) &amp; CTD</t>
  </si>
  <si>
    <t>ISIT TAUT-NG &amp; CTD</t>
  </si>
  <si>
    <t>ECOVER/DEPLOY TAUT-NG &amp; CTD</t>
  </si>
  <si>
    <t>/D TAUT-NG (FAIRED, NOTE:  NO INSERT) &amp; CTD</t>
  </si>
  <si>
    <t>ECOVER/DEPLOY, CTD</t>
  </si>
  <si>
    <t>ISIT (INSERT/FAIRED) &amp; CTD</t>
  </si>
  <si>
    <t>ECOVER/DEPLOY TAUT-NG &amp; CTD, SST w/ picklefork</t>
  </si>
  <si>
    <t>ISIT  MBARI - TAUT-NG &amp; CTD</t>
  </si>
  <si>
    <t>AVOID SS ADCP</t>
  </si>
  <si>
    <t>EPAIR TAUT-NG (FAIRINGS &amp; SONTEK. NOTE: NO INSERT) &amp; CTD, SWAP AN</t>
  </si>
  <si>
    <t>EPAIR TAUT-NG, &amp; CTD, SWAP ATRH</t>
  </si>
  <si>
    <t>EPAIR TAUT-NG &amp; CTD, SWAP ANEMOMETER</t>
  </si>
  <si>
    <t>ECOVER/DEPLOY ATLAS II &amp; CTD</t>
  </si>
  <si>
    <t>EPAIR TAUT-NG &amp; CTD, INSTALL SST W/ PICKLEFORK</t>
  </si>
  <si>
    <t>KA-03-06 (16 OCT - 14 NOV 2003)</t>
  </si>
  <si>
    <t>TAO: GP7-03-KA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</si>
</sst>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hmm"/>
    <numFmt numFmtId="166" formatCode="hh;"/>
    <numFmt numFmtId="167" formatCode="m/d/yy\ \ \ hh:mm"/>
    <numFmt numFmtId="168" formatCode="d\-mmm\ \ \ hh:mm"/>
    <numFmt numFmtId="169" formatCode="dd\-mmm\ \ \ hh:mm"/>
    <numFmt numFmtId="170" formatCode="00.0"/>
    <numFmt numFmtId="171" formatCode="00.00"/>
    <numFmt numFmtId="172" formatCode="\ 0.0"/>
    <numFmt numFmtId="173" formatCode="\ \ 0.0"/>
    <numFmt numFmtId="174" formatCode="dd\-mmm\ hh:mm"/>
    <numFmt numFmtId="175" formatCode="dd\-mmm\ \ hh:mm"/>
    <numFmt numFmtId="176" formatCode="0.000"/>
    <numFmt numFmtId="177" formatCode="00"/>
    <numFmt numFmtId="178" formatCode="##0.0"/>
    <numFmt numFmtId="179" formatCode="0.0%"/>
    <numFmt numFmtId="180" formatCode="0_)"/>
    <numFmt numFmtId="181" formatCode="0.00_)"/>
    <numFmt numFmtId="182" formatCode="0.0_)"/>
    <numFmt numFmtId="183" formatCode="000"/>
  </numFmts>
  <fonts count="2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9"/>
      <color indexed="8"/>
      <name val="Courier"/>
      <family val="0"/>
    </font>
    <font>
      <i/>
      <sz val="9"/>
      <color indexed="8"/>
      <name val="Courier"/>
      <family val="0"/>
    </font>
    <font>
      <u val="single"/>
      <sz val="6.75"/>
      <color indexed="36"/>
      <name val="Geneva"/>
      <family val="0"/>
    </font>
    <font>
      <u val="single"/>
      <sz val="6.75"/>
      <color indexed="12"/>
      <name val="Geneva"/>
      <family val="0"/>
    </font>
    <font>
      <b/>
      <sz val="11"/>
      <name val="Geneva"/>
      <family val="0"/>
    </font>
    <font>
      <sz val="11"/>
      <name val="Geneva"/>
      <family val="0"/>
    </font>
    <font>
      <b/>
      <i/>
      <sz val="11"/>
      <name val="Geneva"/>
      <family val="0"/>
    </font>
    <font>
      <i/>
      <sz val="11"/>
      <name val="Geneva"/>
      <family val="0"/>
    </font>
    <font>
      <i/>
      <u val="single"/>
      <sz val="11"/>
      <name val="Geneva"/>
      <family val="0"/>
    </font>
    <font>
      <u val="single"/>
      <sz val="11"/>
      <name val="Geneva"/>
      <family val="0"/>
    </font>
    <font>
      <sz val="11"/>
      <color indexed="12"/>
      <name val="Geneva"/>
      <family val="0"/>
    </font>
    <font>
      <sz val="11"/>
      <color indexed="10"/>
      <name val="Geneva"/>
      <family val="0"/>
    </font>
    <font>
      <sz val="11"/>
      <color indexed="33"/>
      <name val="Geneva"/>
      <family val="0"/>
    </font>
    <font>
      <sz val="11"/>
      <color indexed="14"/>
      <name val="Geneva"/>
      <family val="0"/>
    </font>
    <font>
      <i/>
      <sz val="11"/>
      <color indexed="14"/>
      <name val="Geneva"/>
      <family val="0"/>
    </font>
    <font>
      <b/>
      <u val="single"/>
      <sz val="11"/>
      <name val="Geneva"/>
      <family val="0"/>
    </font>
    <font>
      <i/>
      <sz val="10"/>
      <name val="Geneva"/>
      <family val="0"/>
    </font>
    <font>
      <i/>
      <sz val="11"/>
      <color indexed="10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0" fillId="2" borderId="3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0" fontId="10" fillId="2" borderId="6" xfId="0" applyFont="1" applyFill="1" applyBorder="1" applyAlignment="1">
      <alignment horizontal="centerContinuous"/>
    </xf>
    <xf numFmtId="0" fontId="10" fillId="2" borderId="5" xfId="0" applyFont="1" applyFill="1" applyBorder="1" applyAlignment="1">
      <alignment horizontal="centerContinuous"/>
    </xf>
    <xf numFmtId="0" fontId="12" fillId="0" borderId="0" xfId="0" applyFont="1" applyAlignment="1">
      <alignment horizontal="center"/>
    </xf>
    <xf numFmtId="0" fontId="10" fillId="2" borderId="7" xfId="0" applyFont="1" applyFill="1" applyBorder="1" applyAlignment="1">
      <alignment/>
    </xf>
    <xf numFmtId="0" fontId="10" fillId="2" borderId="8" xfId="0" applyFont="1" applyFill="1" applyBorder="1" applyAlignment="1" applyProtection="1">
      <alignment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64" fontId="16" fillId="0" borderId="0" xfId="0" applyNumberFormat="1" applyFont="1" applyFill="1" applyAlignment="1">
      <alignment/>
    </xf>
    <xf numFmtId="0" fontId="10" fillId="2" borderId="7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0" fillId="3" borderId="0" xfId="0" applyNumberFormat="1" applyFont="1" applyFill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 horizontal="center"/>
    </xf>
    <xf numFmtId="171" fontId="10" fillId="0" borderId="9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right"/>
    </xf>
    <xf numFmtId="164" fontId="10" fillId="0" borderId="7" xfId="0" applyNumberFormat="1" applyFont="1" applyBorder="1" applyAlignment="1">
      <alignment horizontal="right"/>
    </xf>
    <xf numFmtId="164" fontId="10" fillId="0" borderId="7" xfId="0" applyNumberFormat="1" applyFont="1" applyBorder="1" applyAlignment="1">
      <alignment/>
    </xf>
    <xf numFmtId="169" fontId="10" fillId="0" borderId="7" xfId="0" applyNumberFormat="1" applyFont="1" applyBorder="1" applyAlignment="1">
      <alignment horizontal="center"/>
    </xf>
    <xf numFmtId="169" fontId="10" fillId="0" borderId="10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Alignment="1">
      <alignment/>
    </xf>
    <xf numFmtId="0" fontId="15" fillId="0" borderId="0" xfId="0" applyFont="1" applyAlignment="1">
      <alignment/>
    </xf>
    <xf numFmtId="2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11" xfId="0" applyFont="1" applyFill="1" applyBorder="1" applyAlignment="1">
      <alignment horizontal="right"/>
    </xf>
    <xf numFmtId="0" fontId="12" fillId="0" borderId="11" xfId="0" applyFont="1" applyFill="1" applyBorder="1" applyAlignment="1">
      <alignment/>
    </xf>
    <xf numFmtId="1" fontId="11" fillId="0" borderId="11" xfId="0" applyNumberFormat="1" applyFont="1" applyFill="1" applyBorder="1" applyAlignment="1">
      <alignment/>
    </xf>
    <xf numFmtId="2" fontId="16" fillId="0" borderId="0" xfId="0" applyNumberFormat="1" applyFont="1" applyFill="1" applyAlignment="1">
      <alignment horizontal="right"/>
    </xf>
    <xf numFmtId="164" fontId="12" fillId="0" borderId="11" xfId="0" applyNumberFormat="1" applyFont="1" applyFill="1" applyBorder="1" applyAlignment="1">
      <alignment horizontal="right"/>
    </xf>
    <xf numFmtId="1" fontId="12" fillId="2" borderId="6" xfId="0" applyNumberFormat="1" applyFont="1" applyFill="1" applyBorder="1" applyAlignment="1">
      <alignment/>
    </xf>
    <xf numFmtId="164" fontId="12" fillId="2" borderId="5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right"/>
    </xf>
    <xf numFmtId="1" fontId="11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1" fontId="9" fillId="2" borderId="1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1" fontId="9" fillId="2" borderId="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1" fontId="10" fillId="0" borderId="0" xfId="0" applyNumberFormat="1" applyFont="1" applyAlignment="1">
      <alignment/>
    </xf>
    <xf numFmtId="0" fontId="9" fillId="2" borderId="12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" fontId="9" fillId="2" borderId="0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/>
    </xf>
    <xf numFmtId="1" fontId="9" fillId="2" borderId="13" xfId="0" applyNumberFormat="1" applyFont="1" applyFill="1" applyBorder="1" applyAlignment="1">
      <alignment horizontal="center"/>
    </xf>
    <xf numFmtId="0" fontId="20" fillId="2" borderId="12" xfId="0" applyFont="1" applyFill="1" applyBorder="1" applyAlignment="1">
      <alignment/>
    </xf>
    <xf numFmtId="1" fontId="20" fillId="2" borderId="0" xfId="0" applyNumberFormat="1" applyFont="1" applyFill="1" applyBorder="1" applyAlignment="1">
      <alignment horizontal="center"/>
    </xf>
    <xf numFmtId="1" fontId="20" fillId="2" borderId="13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1" fontId="9" fillId="2" borderId="9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/>
    </xf>
    <xf numFmtId="1" fontId="9" fillId="2" borderId="8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171" fontId="10" fillId="0" borderId="9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right"/>
    </xf>
    <xf numFmtId="164" fontId="10" fillId="0" borderId="7" xfId="0" applyNumberFormat="1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right"/>
    </xf>
    <xf numFmtId="164" fontId="10" fillId="0" borderId="7" xfId="0" applyNumberFormat="1" applyFont="1" applyFill="1" applyBorder="1" applyAlignment="1">
      <alignment/>
    </xf>
    <xf numFmtId="169" fontId="10" fillId="0" borderId="7" xfId="0" applyNumberFormat="1" applyFont="1" applyFill="1" applyBorder="1" applyAlignment="1">
      <alignment horizontal="center"/>
    </xf>
    <xf numFmtId="169" fontId="10" fillId="0" borderId="10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/>
    </xf>
    <xf numFmtId="2" fontId="10" fillId="0" borderId="8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/>
    </xf>
    <xf numFmtId="164" fontId="10" fillId="0" borderId="8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6" fillId="0" borderId="7" xfId="0" applyFont="1" applyFill="1" applyBorder="1" applyAlignment="1" applyProtection="1">
      <alignment/>
      <protection/>
    </xf>
    <xf numFmtId="0" fontId="16" fillId="0" borderId="8" xfId="0" applyFont="1" applyFill="1" applyBorder="1" applyAlignment="1">
      <alignment/>
    </xf>
    <xf numFmtId="0" fontId="16" fillId="0" borderId="9" xfId="0" applyFont="1" applyFill="1" applyBorder="1" applyAlignment="1">
      <alignment horizontal="center"/>
    </xf>
    <xf numFmtId="171" fontId="16" fillId="0" borderId="9" xfId="0" applyNumberFormat="1" applyFont="1" applyFill="1" applyBorder="1" applyAlignment="1">
      <alignment horizontal="center"/>
    </xf>
    <xf numFmtId="164" fontId="16" fillId="0" borderId="9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64" fontId="16" fillId="0" borderId="8" xfId="0" applyNumberFormat="1" applyFont="1" applyFill="1" applyBorder="1" applyAlignment="1">
      <alignment horizontal="center"/>
    </xf>
    <xf numFmtId="164" fontId="16" fillId="0" borderId="9" xfId="0" applyNumberFormat="1" applyFont="1" applyFill="1" applyBorder="1" applyAlignment="1">
      <alignment horizontal="right"/>
    </xf>
    <xf numFmtId="164" fontId="16" fillId="0" borderId="7" xfId="0" applyNumberFormat="1" applyFont="1" applyFill="1" applyBorder="1" applyAlignment="1">
      <alignment horizontal="right"/>
    </xf>
    <xf numFmtId="164" fontId="16" fillId="0" borderId="7" xfId="0" applyNumberFormat="1" applyFont="1" applyFill="1" applyBorder="1" applyAlignment="1">
      <alignment/>
    </xf>
    <xf numFmtId="169" fontId="16" fillId="0" borderId="7" xfId="0" applyNumberFormat="1" applyFont="1" applyFill="1" applyBorder="1" applyAlignment="1">
      <alignment horizontal="center"/>
    </xf>
    <xf numFmtId="169" fontId="16" fillId="0" borderId="1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2" fontId="16" fillId="0" borderId="0" xfId="0" applyNumberFormat="1" applyFont="1" applyFill="1" applyAlignment="1">
      <alignment/>
    </xf>
    <xf numFmtId="15" fontId="15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 horizontal="right"/>
    </xf>
    <xf numFmtId="0" fontId="16" fillId="0" borderId="8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2" fontId="15" fillId="0" borderId="0" xfId="0" applyNumberFormat="1" applyFont="1" applyFill="1" applyAlignment="1">
      <alignment/>
    </xf>
    <xf numFmtId="0" fontId="16" fillId="0" borderId="7" xfId="0" applyFont="1" applyFill="1" applyBorder="1" applyAlignment="1">
      <alignment/>
    </xf>
    <xf numFmtId="2" fontId="16" fillId="0" borderId="9" xfId="0" applyNumberFormat="1" applyFont="1" applyFill="1" applyBorder="1" applyAlignment="1">
      <alignment/>
    </xf>
    <xf numFmtId="164" fontId="10" fillId="0" borderId="9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2" fontId="1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5" fontId="16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164" fontId="16" fillId="0" borderId="7" xfId="0" applyNumberFormat="1" applyFont="1" applyFill="1" applyBorder="1" applyAlignment="1">
      <alignment horizontal="center"/>
    </xf>
    <xf numFmtId="2" fontId="16" fillId="0" borderId="8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1" fillId="0" borderId="1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2" borderId="12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20" fillId="2" borderId="12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10" fillId="0" borderId="9" xfId="0" applyFont="1" applyBorder="1" applyAlignment="1">
      <alignment/>
    </xf>
    <xf numFmtId="0" fontId="12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Followed Hyperlink" xfId="26"/>
    <cellStyle name="Hyperlink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roject\ka98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roject\KA-99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'MOANA 125,140 Sep-Oct 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 155,170 Jun99"/>
      <sheetName val="KA 155,170 Jun99 (actual)"/>
      <sheetName val="LOADPLN -  KA99-04 (Gp3)"/>
      <sheetName val="fuel use "/>
      <sheetName val="itinerant load, SD dep"/>
      <sheetName val="T&amp;S SD dep"/>
      <sheetName val="T&amp;S 12 Jun"/>
      <sheetName val="T&amp;S 15 Jun"/>
      <sheetName val="T&amp;S HNL Dep"/>
      <sheetName val="T&amp;S Jul 1"/>
      <sheetName val="T&amp;S Jul 5"/>
      <sheetName val="T&amp;S Jul 9"/>
      <sheetName val="T&amp;S Jul 11"/>
      <sheetName val="T&amp;S Jul 15"/>
      <sheetName val="T&amp;S Jul 17"/>
      <sheetName val="T&amp;S Jul 19"/>
      <sheetName val="T&amp;S Jul 22"/>
      <sheetName val="T&amp;S Jul 24"/>
      <sheetName val="T&amp;S Jul 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"/>
  <sheetViews>
    <sheetView tabSelected="1" zoomScale="75" zoomScaleNormal="75" workbookViewId="0" topLeftCell="A1">
      <selection activeCell="A3" sqref="A3:Q3"/>
    </sheetView>
  </sheetViews>
  <sheetFormatPr defaultColWidth="9.00390625" defaultRowHeight="12"/>
  <cols>
    <col min="1" max="1" width="2.375" style="2" customWidth="1"/>
    <col min="2" max="2" width="71.75390625" style="2" customWidth="1"/>
    <col min="3" max="3" width="5.875" style="2" customWidth="1"/>
    <col min="4" max="4" width="7.75390625" style="2" customWidth="1"/>
    <col min="5" max="5" width="4.00390625" style="2" customWidth="1"/>
    <col min="6" max="6" width="5.875" style="2" customWidth="1"/>
    <col min="7" max="7" width="8.625" style="2" customWidth="1"/>
    <col min="8" max="8" width="4.75390625" style="2" customWidth="1"/>
    <col min="9" max="9" width="9.375" style="2" customWidth="1"/>
    <col min="10" max="10" width="8.625" style="2" customWidth="1"/>
    <col min="11" max="11" width="8.125" style="2" customWidth="1"/>
    <col min="12" max="12" width="7.875" style="2" customWidth="1"/>
    <col min="13" max="13" width="8.375" style="2" customWidth="1"/>
    <col min="14" max="14" width="17.875" style="2" customWidth="1"/>
    <col min="15" max="15" width="18.25390625" style="2" customWidth="1"/>
    <col min="16" max="16" width="11.00390625" style="2" customWidth="1"/>
    <col min="17" max="17" width="10.75390625" style="2" customWidth="1"/>
    <col min="18" max="18" width="11.125" style="2" customWidth="1"/>
    <col min="19" max="19" width="9.375" style="2" customWidth="1"/>
    <col min="20" max="20" width="8.625" style="2" customWidth="1"/>
    <col min="21" max="21" width="8.00390625" style="2" customWidth="1"/>
    <col min="22" max="22" width="10.625" style="0" customWidth="1"/>
    <col min="23" max="23" width="7.25390625" style="2" customWidth="1"/>
    <col min="24" max="24" width="6.625" style="2" customWidth="1"/>
    <col min="25" max="25" width="3.25390625" style="2" customWidth="1"/>
    <col min="26" max="26" width="3.125" style="2" customWidth="1"/>
    <col min="27" max="27" width="5.375" style="2" customWidth="1"/>
    <col min="28" max="28" width="4.00390625" style="2" customWidth="1"/>
    <col min="29" max="29" width="12.875" style="2" customWidth="1"/>
    <col min="30" max="30" width="14.25390625" style="2" customWidth="1"/>
    <col min="31" max="31" width="14.375" style="3" customWidth="1"/>
    <col min="32" max="32" width="11.375" style="4" customWidth="1"/>
    <col min="33" max="16384" width="11.375" style="2" customWidth="1"/>
  </cols>
  <sheetData>
    <row r="1" spans="1:22" ht="1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V1" s="2"/>
    </row>
    <row r="2" spans="1:22" ht="15">
      <c r="A2" s="151" t="s">
        <v>76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V2" s="2"/>
    </row>
    <row r="3" spans="1:22" ht="14.25">
      <c r="A3" s="152" t="s">
        <v>77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V3" s="2"/>
    </row>
    <row r="4" spans="11:22" ht="14.25">
      <c r="K4" s="5"/>
      <c r="V4" s="2"/>
    </row>
    <row r="5" spans="1:24" ht="14.25">
      <c r="A5" s="6"/>
      <c r="B5" s="7" t="s">
        <v>1</v>
      </c>
      <c r="C5" s="8"/>
      <c r="D5" s="9" t="s">
        <v>2</v>
      </c>
      <c r="E5" s="10"/>
      <c r="F5" s="156" t="s">
        <v>3</v>
      </c>
      <c r="G5" s="157"/>
      <c r="H5" s="158"/>
      <c r="I5" s="13" t="s">
        <v>4</v>
      </c>
      <c r="J5" s="10" t="s">
        <v>5</v>
      </c>
      <c r="K5" s="14" t="s">
        <v>6</v>
      </c>
      <c r="L5" s="11" t="s">
        <v>7</v>
      </c>
      <c r="M5" s="11" t="s">
        <v>8</v>
      </c>
      <c r="N5" s="13" t="s">
        <v>9</v>
      </c>
      <c r="O5" s="12" t="s">
        <v>10</v>
      </c>
      <c r="P5" s="15" t="s">
        <v>11</v>
      </c>
      <c r="Q5" s="16"/>
      <c r="U5" s="17" t="s">
        <v>12</v>
      </c>
      <c r="V5" s="17" t="s">
        <v>13</v>
      </c>
      <c r="W5" s="1" t="s">
        <v>14</v>
      </c>
      <c r="X5" s="1" t="s">
        <v>15</v>
      </c>
    </row>
    <row r="6" spans="1:31" ht="14.25">
      <c r="A6" s="18"/>
      <c r="B6" s="19"/>
      <c r="C6" s="20" t="s">
        <v>16</v>
      </c>
      <c r="D6" s="21" t="s">
        <v>17</v>
      </c>
      <c r="E6" s="22"/>
      <c r="F6" s="24" t="s">
        <v>16</v>
      </c>
      <c r="G6" s="25" t="s">
        <v>18</v>
      </c>
      <c r="H6" s="21"/>
      <c r="I6" s="25" t="s">
        <v>19</v>
      </c>
      <c r="J6" s="22" t="s">
        <v>20</v>
      </c>
      <c r="K6" s="11" t="s">
        <v>21</v>
      </c>
      <c r="L6" s="24" t="s">
        <v>22</v>
      </c>
      <c r="M6" s="24" t="s">
        <v>22</v>
      </c>
      <c r="N6" s="24" t="s">
        <v>23</v>
      </c>
      <c r="O6" s="25" t="s">
        <v>23</v>
      </c>
      <c r="P6" s="21" t="s">
        <v>22</v>
      </c>
      <c r="Q6" s="21" t="s">
        <v>24</v>
      </c>
      <c r="R6" s="26" t="s">
        <v>25</v>
      </c>
      <c r="S6" s="27" t="s">
        <v>26</v>
      </c>
      <c r="T6" s="28" t="s">
        <v>27</v>
      </c>
      <c r="U6" s="28" t="s">
        <v>28</v>
      </c>
      <c r="V6" s="28" t="s">
        <v>29</v>
      </c>
      <c r="W6" s="29" t="s">
        <v>30</v>
      </c>
      <c r="X6" s="29" t="s">
        <v>30</v>
      </c>
      <c r="AC6" s="1" t="s">
        <v>31</v>
      </c>
      <c r="AD6" s="2" t="s">
        <v>32</v>
      </c>
      <c r="AE6" s="3" t="s">
        <v>33</v>
      </c>
    </row>
    <row r="7" spans="1:32" s="99" customFormat="1" ht="14.25">
      <c r="A7" s="85"/>
      <c r="B7" s="86" t="s">
        <v>34</v>
      </c>
      <c r="C7" s="87">
        <v>21</v>
      </c>
      <c r="D7" s="88">
        <v>18</v>
      </c>
      <c r="E7" s="87" t="s">
        <v>35</v>
      </c>
      <c r="F7" s="89">
        <v>157</v>
      </c>
      <c r="G7" s="88">
        <v>53</v>
      </c>
      <c r="H7" s="90" t="s">
        <v>36</v>
      </c>
      <c r="I7" s="86"/>
      <c r="J7" s="91"/>
      <c r="K7" s="92"/>
      <c r="L7" s="93"/>
      <c r="M7" s="94"/>
      <c r="N7" s="95"/>
      <c r="O7" s="96">
        <v>37910.583333333336</v>
      </c>
      <c r="P7" s="97">
        <v>0</v>
      </c>
      <c r="Q7" s="98">
        <f aca="true" t="shared" si="0" ref="Q7:Q36">P7/24</f>
        <v>0</v>
      </c>
      <c r="W7" s="100">
        <f aca="true" t="shared" si="1" ref="W7:W34">IF(E7="N",1,-1)</f>
        <v>1</v>
      </c>
      <c r="X7" s="100">
        <f aca="true" t="shared" si="2" ref="X7:X34">IF(H7="W",1,-1)</f>
        <v>1</v>
      </c>
      <c r="Y7" s="99">
        <f aca="true" t="shared" si="3" ref="Y7:Y34">C7</f>
        <v>21</v>
      </c>
      <c r="Z7" s="99" t="str">
        <f aca="true" t="shared" si="4" ref="Z7:Z34">E7</f>
        <v>N</v>
      </c>
      <c r="AA7" s="99">
        <f aca="true" t="shared" si="5" ref="AA7:AA34">F7</f>
        <v>157</v>
      </c>
      <c r="AB7" s="99">
        <f aca="true" t="shared" si="6" ref="AB7:AB34">IF(R7=1,"R",IF(S7=1,"V",0))</f>
        <v>0</v>
      </c>
      <c r="AC7" s="101">
        <f aca="true" t="shared" si="7" ref="AC7:AC34">IF(R7=1,N7,IF(S7=1,N7,IF(T7=1,N7,IF(U7=1,N7,IF(V7=1,N7,0)))))</f>
        <v>0</v>
      </c>
      <c r="AE7" s="102">
        <f aca="true" t="shared" si="8" ref="AE7:AE34">(AC7-AD7)/30.5</f>
        <v>0</v>
      </c>
      <c r="AF7" s="103"/>
    </row>
    <row r="8" spans="1:32" s="99" customFormat="1" ht="14.25">
      <c r="A8" s="85"/>
      <c r="B8" s="86" t="s">
        <v>37</v>
      </c>
      <c r="C8" s="87">
        <v>12</v>
      </c>
      <c r="D8" s="88">
        <v>0</v>
      </c>
      <c r="E8" s="87" t="s">
        <v>35</v>
      </c>
      <c r="F8" s="89">
        <v>155</v>
      </c>
      <c r="G8" s="88">
        <v>0</v>
      </c>
      <c r="H8" s="90" t="s">
        <v>36</v>
      </c>
      <c r="I8" s="104">
        <f aca="true" t="shared" si="9" ref="I8:I34">IF(R8=1,AE8,IF(S8=1,AE8,IF(T8=1,AE8,IF(U8=1,AE8,IF(V8=1,AE8,"")))))</f>
      </c>
      <c r="J8" s="91">
        <f>180/PI()*60*ACOS((SIN(PI()/180*W7*(C7+D7/60))*SIN(PI()/180*W8*(C8+D8/60)))+(COS(PI()/180*W7*(C7+D7/60))*COS(PI()/180*W8*(C8+D8/60))*COS(PI()/180*(X8*(F8+G8/60)-X7*(F7+G7/60)))))</f>
        <v>582.0299801497175</v>
      </c>
      <c r="K8" s="92">
        <v>10</v>
      </c>
      <c r="L8" s="93">
        <f aca="true" t="shared" si="10" ref="L8:L15">J8/K8</f>
        <v>58.202998014971755</v>
      </c>
      <c r="M8" s="94">
        <v>1.2</v>
      </c>
      <c r="N8" s="95">
        <f>O7+L8/24</f>
        <v>37913.008458250624</v>
      </c>
      <c r="O8" s="96">
        <f aca="true" t="shared" si="11" ref="O8:O34">N8+M8/24</f>
        <v>37913.05845825063</v>
      </c>
      <c r="P8" s="97">
        <f aca="true" t="shared" si="12" ref="P8:P34">P7+L8+M8</f>
        <v>59.40299801497176</v>
      </c>
      <c r="Q8" s="98">
        <f t="shared" si="0"/>
        <v>2.47512491729049</v>
      </c>
      <c r="R8" s="99">
        <f aca="true" t="shared" si="13" ref="R8:R34">IF(A8="R",1,0)</f>
        <v>0</v>
      </c>
      <c r="S8" s="99">
        <f aca="true" t="shared" si="14" ref="S8:S34">IF(A8="V",1,0)</f>
        <v>0</v>
      </c>
      <c r="T8" s="99">
        <f aca="true" t="shared" si="15" ref="T8:T34">IF(A8="R E",1,0)</f>
        <v>0</v>
      </c>
      <c r="U8" s="99">
        <f aca="true" t="shared" si="16" ref="U8:U34">IF(A8="S",1,0)</f>
        <v>0</v>
      </c>
      <c r="V8" s="99">
        <f aca="true" t="shared" si="17" ref="V8:V13">IF(A12="D",1,0)</f>
        <v>0</v>
      </c>
      <c r="W8" s="100">
        <f t="shared" si="1"/>
        <v>1</v>
      </c>
      <c r="X8" s="100">
        <f t="shared" si="2"/>
        <v>1</v>
      </c>
      <c r="Y8" s="99">
        <f t="shared" si="3"/>
        <v>12</v>
      </c>
      <c r="Z8" s="99" t="str">
        <f t="shared" si="4"/>
        <v>N</v>
      </c>
      <c r="AA8" s="99">
        <f t="shared" si="5"/>
        <v>155</v>
      </c>
      <c r="AB8" s="99">
        <f t="shared" si="6"/>
        <v>0</v>
      </c>
      <c r="AC8" s="101">
        <f t="shared" si="7"/>
        <v>0</v>
      </c>
      <c r="AD8" s="105"/>
      <c r="AE8" s="102">
        <f t="shared" si="8"/>
        <v>0</v>
      </c>
      <c r="AF8" s="103">
        <f aca="true" t="shared" si="18" ref="AF8:AF38">J8*K8</f>
        <v>5820.299801497175</v>
      </c>
    </row>
    <row r="9" spans="1:32" s="99" customFormat="1" ht="14.25">
      <c r="A9" s="85"/>
      <c r="B9" s="86" t="s">
        <v>37</v>
      </c>
      <c r="C9" s="87">
        <v>11</v>
      </c>
      <c r="D9" s="88">
        <v>0</v>
      </c>
      <c r="E9" s="87" t="s">
        <v>35</v>
      </c>
      <c r="F9" s="89">
        <v>155</v>
      </c>
      <c r="G9" s="88">
        <v>0</v>
      </c>
      <c r="H9" s="90" t="s">
        <v>36</v>
      </c>
      <c r="I9" s="104">
        <f t="shared" si="9"/>
      </c>
      <c r="J9" s="91">
        <f aca="true" t="shared" si="19" ref="J9:J34">180/PI()*60*ACOS((SIN(PI()/180*W8*(C8+D8/60))*SIN(PI()/180*W9*(C9+D9/60)))+(COS(PI()/180*W8*(C8+D8/60))*COS(PI()/180*W9*(C9+D9/60))*COS(PI()/180*(X9*(F9+G9/60)-X8*(F8+G8/60)))))</f>
        <v>59.999999999971834</v>
      </c>
      <c r="K9" s="92">
        <v>10</v>
      </c>
      <c r="L9" s="93">
        <f t="shared" si="10"/>
        <v>5.999999999997184</v>
      </c>
      <c r="M9" s="94">
        <v>1.2</v>
      </c>
      <c r="N9" s="95">
        <f>O8+L9/24</f>
        <v>37913.30845825063</v>
      </c>
      <c r="O9" s="96">
        <f t="shared" si="11"/>
        <v>37913.35845825063</v>
      </c>
      <c r="P9" s="97">
        <f t="shared" si="12"/>
        <v>66.60299801496895</v>
      </c>
      <c r="Q9" s="98">
        <f t="shared" si="0"/>
        <v>2.775124917290373</v>
      </c>
      <c r="R9" s="99">
        <f t="shared" si="13"/>
        <v>0</v>
      </c>
      <c r="S9" s="99">
        <f t="shared" si="14"/>
        <v>0</v>
      </c>
      <c r="T9" s="99">
        <f t="shared" si="15"/>
        <v>0</v>
      </c>
      <c r="U9" s="99">
        <f t="shared" si="16"/>
        <v>0</v>
      </c>
      <c r="V9" s="99">
        <f t="shared" si="17"/>
        <v>0</v>
      </c>
      <c r="W9" s="100">
        <f t="shared" si="1"/>
        <v>1</v>
      </c>
      <c r="X9" s="100">
        <f t="shared" si="2"/>
        <v>1</v>
      </c>
      <c r="Y9" s="99">
        <f t="shared" si="3"/>
        <v>11</v>
      </c>
      <c r="Z9" s="99" t="str">
        <f t="shared" si="4"/>
        <v>N</v>
      </c>
      <c r="AA9" s="99">
        <f t="shared" si="5"/>
        <v>155</v>
      </c>
      <c r="AB9" s="99">
        <f t="shared" si="6"/>
        <v>0</v>
      </c>
      <c r="AC9" s="101">
        <f t="shared" si="7"/>
        <v>0</v>
      </c>
      <c r="AD9" s="105"/>
      <c r="AE9" s="102">
        <f t="shared" si="8"/>
        <v>0</v>
      </c>
      <c r="AF9" s="103">
        <f t="shared" si="18"/>
        <v>599.9999999997183</v>
      </c>
    </row>
    <row r="10" spans="1:32" s="99" customFormat="1" ht="14.25">
      <c r="A10" s="85"/>
      <c r="B10" s="86" t="s">
        <v>37</v>
      </c>
      <c r="C10" s="87">
        <v>10</v>
      </c>
      <c r="D10" s="88">
        <v>0</v>
      </c>
      <c r="E10" s="87" t="s">
        <v>35</v>
      </c>
      <c r="F10" s="89">
        <v>155</v>
      </c>
      <c r="G10" s="88">
        <v>0</v>
      </c>
      <c r="H10" s="90" t="s">
        <v>36</v>
      </c>
      <c r="I10" s="104">
        <f t="shared" si="9"/>
      </c>
      <c r="J10" s="91">
        <f t="shared" si="19"/>
        <v>60.00000000001535</v>
      </c>
      <c r="K10" s="92">
        <v>10</v>
      </c>
      <c r="L10" s="93">
        <f t="shared" si="10"/>
        <v>6.000000000001535</v>
      </c>
      <c r="M10" s="94">
        <v>1.2</v>
      </c>
      <c r="N10" s="95">
        <f aca="true" t="shared" si="20" ref="N10:N34">O9+L10/24</f>
        <v>37913.60845825063</v>
      </c>
      <c r="O10" s="96">
        <f t="shared" si="11"/>
        <v>37913.65845825063</v>
      </c>
      <c r="P10" s="97">
        <f t="shared" si="12"/>
        <v>73.80299801497048</v>
      </c>
      <c r="Q10" s="98">
        <f t="shared" si="0"/>
        <v>3.0751249172904367</v>
      </c>
      <c r="R10" s="99">
        <f t="shared" si="13"/>
        <v>0</v>
      </c>
      <c r="S10" s="99">
        <f t="shared" si="14"/>
        <v>0</v>
      </c>
      <c r="T10" s="99">
        <f t="shared" si="15"/>
        <v>0</v>
      </c>
      <c r="U10" s="99">
        <f t="shared" si="16"/>
        <v>0</v>
      </c>
      <c r="V10" s="99">
        <f t="shared" si="17"/>
        <v>0</v>
      </c>
      <c r="W10" s="100">
        <f t="shared" si="1"/>
        <v>1</v>
      </c>
      <c r="X10" s="100">
        <f t="shared" si="2"/>
        <v>1</v>
      </c>
      <c r="Y10" s="99">
        <f t="shared" si="3"/>
        <v>10</v>
      </c>
      <c r="Z10" s="99" t="str">
        <f t="shared" si="4"/>
        <v>N</v>
      </c>
      <c r="AA10" s="99">
        <f t="shared" si="5"/>
        <v>155</v>
      </c>
      <c r="AB10" s="99">
        <f t="shared" si="6"/>
        <v>0</v>
      </c>
      <c r="AC10" s="101">
        <f t="shared" si="7"/>
        <v>0</v>
      </c>
      <c r="AE10" s="102">
        <f t="shared" si="8"/>
        <v>0</v>
      </c>
      <c r="AF10" s="103">
        <f t="shared" si="18"/>
        <v>600.0000000001535</v>
      </c>
    </row>
    <row r="11" spans="1:32" s="99" customFormat="1" ht="14.25">
      <c r="A11" s="85"/>
      <c r="B11" s="86" t="s">
        <v>37</v>
      </c>
      <c r="C11" s="87">
        <v>9</v>
      </c>
      <c r="D11" s="88">
        <v>0</v>
      </c>
      <c r="E11" s="87" t="s">
        <v>35</v>
      </c>
      <c r="F11" s="89">
        <v>155</v>
      </c>
      <c r="G11" s="88">
        <v>0</v>
      </c>
      <c r="H11" s="90" t="s">
        <v>36</v>
      </c>
      <c r="I11" s="104">
        <f t="shared" si="9"/>
      </c>
      <c r="J11" s="91">
        <f t="shared" si="19"/>
        <v>59.999999999993975</v>
      </c>
      <c r="K11" s="92">
        <v>10</v>
      </c>
      <c r="L11" s="93">
        <f t="shared" si="10"/>
        <v>5.999999999999398</v>
      </c>
      <c r="M11" s="94">
        <v>1.2</v>
      </c>
      <c r="N11" s="95">
        <f t="shared" si="20"/>
        <v>37913.90845825063</v>
      </c>
      <c r="O11" s="96">
        <f t="shared" si="11"/>
        <v>37913.958458250636</v>
      </c>
      <c r="P11" s="97">
        <f t="shared" si="12"/>
        <v>81.00299801496989</v>
      </c>
      <c r="Q11" s="98">
        <f t="shared" si="0"/>
        <v>3.375124917290412</v>
      </c>
      <c r="R11" s="99">
        <f t="shared" si="13"/>
        <v>0</v>
      </c>
      <c r="S11" s="99">
        <f t="shared" si="14"/>
        <v>0</v>
      </c>
      <c r="T11" s="99">
        <f t="shared" si="15"/>
        <v>0</v>
      </c>
      <c r="U11" s="99">
        <f t="shared" si="16"/>
        <v>0</v>
      </c>
      <c r="V11" s="99">
        <f t="shared" si="17"/>
        <v>0</v>
      </c>
      <c r="W11" s="100">
        <f t="shared" si="1"/>
        <v>1</v>
      </c>
      <c r="X11" s="100">
        <f t="shared" si="2"/>
        <v>1</v>
      </c>
      <c r="Y11" s="99">
        <f t="shared" si="3"/>
        <v>9</v>
      </c>
      <c r="Z11" s="99" t="str">
        <f t="shared" si="4"/>
        <v>N</v>
      </c>
      <c r="AA11" s="99">
        <f t="shared" si="5"/>
        <v>155</v>
      </c>
      <c r="AB11" s="99">
        <f t="shared" si="6"/>
        <v>0</v>
      </c>
      <c r="AC11" s="101">
        <f t="shared" si="7"/>
        <v>0</v>
      </c>
      <c r="AE11" s="102">
        <f t="shared" si="8"/>
        <v>0</v>
      </c>
      <c r="AF11" s="103">
        <f t="shared" si="18"/>
        <v>599.9999999999397</v>
      </c>
    </row>
    <row r="12" spans="1:32" s="99" customFormat="1" ht="14.25">
      <c r="A12" s="106" t="s">
        <v>61</v>
      </c>
      <c r="B12" s="107" t="s">
        <v>72</v>
      </c>
      <c r="C12" s="108">
        <v>8</v>
      </c>
      <c r="D12" s="109">
        <v>0</v>
      </c>
      <c r="E12" s="110" t="s">
        <v>35</v>
      </c>
      <c r="F12" s="111">
        <v>155</v>
      </c>
      <c r="G12" s="109">
        <v>0</v>
      </c>
      <c r="H12" s="112" t="s">
        <v>36</v>
      </c>
      <c r="I12" s="112">
        <f t="shared" si="9"/>
        <v>28.498637975430686</v>
      </c>
      <c r="J12" s="113">
        <f t="shared" si="19"/>
        <v>59.999999999993975</v>
      </c>
      <c r="K12" s="92">
        <v>10</v>
      </c>
      <c r="L12" s="114">
        <f t="shared" si="10"/>
        <v>5.999999999999398</v>
      </c>
      <c r="M12" s="115">
        <v>8</v>
      </c>
      <c r="N12" s="116">
        <f t="shared" si="20"/>
        <v>37914.208458250636</v>
      </c>
      <c r="O12" s="117">
        <f t="shared" si="11"/>
        <v>37914.54179158397</v>
      </c>
      <c r="P12" s="97">
        <f t="shared" si="12"/>
        <v>95.0029980149693</v>
      </c>
      <c r="Q12" s="98">
        <f t="shared" si="0"/>
        <v>3.9584582506237207</v>
      </c>
      <c r="R12" s="99">
        <f t="shared" si="13"/>
        <v>0</v>
      </c>
      <c r="S12" s="99">
        <f t="shared" si="14"/>
        <v>0</v>
      </c>
      <c r="T12" s="99">
        <f t="shared" si="15"/>
        <v>1</v>
      </c>
      <c r="U12" s="99">
        <f t="shared" si="16"/>
        <v>0</v>
      </c>
      <c r="V12" s="99">
        <f t="shared" si="17"/>
        <v>0</v>
      </c>
      <c r="W12" s="100">
        <f t="shared" si="1"/>
        <v>1</v>
      </c>
      <c r="X12" s="100">
        <f t="shared" si="2"/>
        <v>1</v>
      </c>
      <c r="Y12" s="118">
        <f t="shared" si="3"/>
        <v>8</v>
      </c>
      <c r="Z12" s="118" t="str">
        <f t="shared" si="4"/>
        <v>N</v>
      </c>
      <c r="AA12" s="118">
        <f t="shared" si="5"/>
        <v>155</v>
      </c>
      <c r="AB12" s="118">
        <f t="shared" si="6"/>
        <v>0</v>
      </c>
      <c r="AC12" s="119">
        <f t="shared" si="7"/>
        <v>37914.208458250636</v>
      </c>
      <c r="AD12" s="120">
        <v>37045</v>
      </c>
      <c r="AE12" s="121">
        <f t="shared" si="8"/>
        <v>28.498637975430686</v>
      </c>
      <c r="AF12" s="103">
        <f t="shared" si="18"/>
        <v>599.9999999999397</v>
      </c>
    </row>
    <row r="13" spans="1:32" s="99" customFormat="1" ht="14.25">
      <c r="A13" s="85"/>
      <c r="B13" s="86" t="s">
        <v>37</v>
      </c>
      <c r="C13" s="87">
        <v>7</v>
      </c>
      <c r="D13" s="88">
        <v>0</v>
      </c>
      <c r="E13" s="87" t="s">
        <v>35</v>
      </c>
      <c r="F13" s="89">
        <v>155</v>
      </c>
      <c r="G13" s="88">
        <v>0</v>
      </c>
      <c r="H13" s="90" t="s">
        <v>36</v>
      </c>
      <c r="I13" s="104">
        <f t="shared" si="9"/>
      </c>
      <c r="J13" s="91">
        <f t="shared" si="19"/>
        <v>60.00000000001535</v>
      </c>
      <c r="K13" s="92">
        <v>10</v>
      </c>
      <c r="L13" s="93">
        <f t="shared" si="10"/>
        <v>6.000000000001535</v>
      </c>
      <c r="M13" s="94">
        <v>1.2</v>
      </c>
      <c r="N13" s="95">
        <f t="shared" si="20"/>
        <v>37914.79179158397</v>
      </c>
      <c r="O13" s="96">
        <f t="shared" si="11"/>
        <v>37914.841791583975</v>
      </c>
      <c r="P13" s="97">
        <f t="shared" si="12"/>
        <v>102.20299801497083</v>
      </c>
      <c r="Q13" s="98">
        <f t="shared" si="0"/>
        <v>4.258458250623785</v>
      </c>
      <c r="R13" s="99">
        <f t="shared" si="13"/>
        <v>0</v>
      </c>
      <c r="S13" s="99">
        <f t="shared" si="14"/>
        <v>0</v>
      </c>
      <c r="T13" s="99">
        <f t="shared" si="15"/>
        <v>0</v>
      </c>
      <c r="U13" s="99">
        <f t="shared" si="16"/>
        <v>0</v>
      </c>
      <c r="V13" s="99">
        <f t="shared" si="17"/>
        <v>0</v>
      </c>
      <c r="W13" s="100">
        <f t="shared" si="1"/>
        <v>1</v>
      </c>
      <c r="X13" s="100">
        <f t="shared" si="2"/>
        <v>1</v>
      </c>
      <c r="Y13" s="99">
        <f t="shared" si="3"/>
        <v>7</v>
      </c>
      <c r="Z13" s="99" t="str">
        <f t="shared" si="4"/>
        <v>N</v>
      </c>
      <c r="AA13" s="99">
        <f t="shared" si="5"/>
        <v>155</v>
      </c>
      <c r="AB13" s="99">
        <f t="shared" si="6"/>
        <v>0</v>
      </c>
      <c r="AC13" s="101">
        <f t="shared" si="7"/>
        <v>0</v>
      </c>
      <c r="AD13" s="105"/>
      <c r="AE13" s="102">
        <f t="shared" si="8"/>
        <v>0</v>
      </c>
      <c r="AF13" s="103">
        <f t="shared" si="18"/>
        <v>600.0000000001535</v>
      </c>
    </row>
    <row r="14" spans="1:32" s="99" customFormat="1" ht="14.25">
      <c r="A14" s="85" t="s">
        <v>39</v>
      </c>
      <c r="B14" s="86" t="s">
        <v>37</v>
      </c>
      <c r="C14" s="87">
        <v>6</v>
      </c>
      <c r="D14" s="88">
        <v>0</v>
      </c>
      <c r="E14" s="87" t="s">
        <v>35</v>
      </c>
      <c r="F14" s="89">
        <v>155</v>
      </c>
      <c r="G14" s="88">
        <v>0</v>
      </c>
      <c r="H14" s="90" t="s">
        <v>36</v>
      </c>
      <c r="I14" s="104">
        <f t="shared" si="9"/>
      </c>
      <c r="J14" s="91">
        <f t="shared" si="19"/>
        <v>60.00000000003748</v>
      </c>
      <c r="K14" s="92">
        <v>10</v>
      </c>
      <c r="L14" s="93">
        <f t="shared" si="10"/>
        <v>6.000000000003748</v>
      </c>
      <c r="M14" s="94">
        <v>1.2</v>
      </c>
      <c r="N14" s="95">
        <f t="shared" si="20"/>
        <v>37915.091791583975</v>
      </c>
      <c r="O14" s="96">
        <f t="shared" si="11"/>
        <v>37915.14179158398</v>
      </c>
      <c r="P14" s="97">
        <f t="shared" si="12"/>
        <v>109.40299801497459</v>
      </c>
      <c r="Q14" s="98">
        <f t="shared" si="0"/>
        <v>4.558458250623941</v>
      </c>
      <c r="R14" s="99">
        <f t="shared" si="13"/>
        <v>0</v>
      </c>
      <c r="S14" s="99">
        <f t="shared" si="14"/>
        <v>0</v>
      </c>
      <c r="T14" s="99">
        <f t="shared" si="15"/>
        <v>0</v>
      </c>
      <c r="U14" s="99">
        <f t="shared" si="16"/>
        <v>0</v>
      </c>
      <c r="V14" s="99">
        <f>IF(A19="D",1,0)</f>
        <v>0</v>
      </c>
      <c r="W14" s="100">
        <f t="shared" si="1"/>
        <v>1</v>
      </c>
      <c r="X14" s="100">
        <f t="shared" si="2"/>
        <v>1</v>
      </c>
      <c r="Y14" s="99">
        <f t="shared" si="3"/>
        <v>6</v>
      </c>
      <c r="Z14" s="99" t="str">
        <f t="shared" si="4"/>
        <v>N</v>
      </c>
      <c r="AA14" s="99">
        <f t="shared" si="5"/>
        <v>155</v>
      </c>
      <c r="AB14" s="99">
        <f t="shared" si="6"/>
        <v>0</v>
      </c>
      <c r="AC14" s="101">
        <f t="shared" si="7"/>
        <v>0</v>
      </c>
      <c r="AD14" s="120"/>
      <c r="AE14" s="102">
        <f t="shared" si="8"/>
        <v>0</v>
      </c>
      <c r="AF14" s="103">
        <f t="shared" si="18"/>
        <v>600.0000000003748</v>
      </c>
    </row>
    <row r="15" spans="1:32" s="99" customFormat="1" ht="14.25">
      <c r="A15" s="106" t="s">
        <v>38</v>
      </c>
      <c r="B15" s="107" t="s">
        <v>66</v>
      </c>
      <c r="C15" s="111">
        <v>5</v>
      </c>
      <c r="D15" s="109">
        <v>0</v>
      </c>
      <c r="E15" s="108" t="s">
        <v>35</v>
      </c>
      <c r="F15" s="111">
        <v>155</v>
      </c>
      <c r="G15" s="109">
        <v>0</v>
      </c>
      <c r="H15" s="122" t="s">
        <v>36</v>
      </c>
      <c r="I15" s="112">
        <f t="shared" si="9"/>
        <v>28.504648904392702</v>
      </c>
      <c r="J15" s="113">
        <f t="shared" si="19"/>
        <v>60.00000000001535</v>
      </c>
      <c r="K15" s="92">
        <v>10</v>
      </c>
      <c r="L15" s="114">
        <f t="shared" si="10"/>
        <v>6.000000000001535</v>
      </c>
      <c r="M15" s="115">
        <v>12</v>
      </c>
      <c r="N15" s="116">
        <f t="shared" si="20"/>
        <v>37915.39179158398</v>
      </c>
      <c r="O15" s="117">
        <f t="shared" si="11"/>
        <v>37915.89179158398</v>
      </c>
      <c r="P15" s="97">
        <f t="shared" si="12"/>
        <v>127.40299801497612</v>
      </c>
      <c r="Q15" s="98">
        <f t="shared" si="0"/>
        <v>5.308458250624005</v>
      </c>
      <c r="R15" s="99">
        <f t="shared" si="13"/>
        <v>1</v>
      </c>
      <c r="S15" s="123">
        <f t="shared" si="14"/>
        <v>0</v>
      </c>
      <c r="T15" s="99">
        <f t="shared" si="15"/>
        <v>0</v>
      </c>
      <c r="U15" s="99">
        <f t="shared" si="16"/>
        <v>0</v>
      </c>
      <c r="V15" s="99">
        <f>IF(A21="D",1,0)</f>
        <v>0</v>
      </c>
      <c r="W15" s="100">
        <f t="shared" si="1"/>
        <v>1</v>
      </c>
      <c r="X15" s="100">
        <f t="shared" si="2"/>
        <v>1</v>
      </c>
      <c r="Y15" s="118">
        <f t="shared" si="3"/>
        <v>5</v>
      </c>
      <c r="Z15" s="118" t="str">
        <f t="shared" si="4"/>
        <v>N</v>
      </c>
      <c r="AA15" s="118">
        <f t="shared" si="5"/>
        <v>155</v>
      </c>
      <c r="AB15" s="118" t="str">
        <f t="shared" si="6"/>
        <v>R</v>
      </c>
      <c r="AC15" s="119">
        <f t="shared" si="7"/>
        <v>37915.39179158398</v>
      </c>
      <c r="AD15" s="120">
        <v>37046</v>
      </c>
      <c r="AE15" s="121">
        <f t="shared" si="8"/>
        <v>28.504648904392702</v>
      </c>
      <c r="AF15" s="103">
        <f t="shared" si="18"/>
        <v>600.0000000001535</v>
      </c>
    </row>
    <row r="16" spans="1:32" s="99" customFormat="1" ht="14.25">
      <c r="A16" s="85"/>
      <c r="B16" s="86" t="s">
        <v>37</v>
      </c>
      <c r="C16" s="87">
        <v>4</v>
      </c>
      <c r="D16" s="88">
        <v>0</v>
      </c>
      <c r="E16" s="87" t="s">
        <v>35</v>
      </c>
      <c r="F16" s="89">
        <v>155</v>
      </c>
      <c r="G16" s="88">
        <v>0</v>
      </c>
      <c r="H16" s="90" t="s">
        <v>36</v>
      </c>
      <c r="I16" s="104">
        <f t="shared" si="9"/>
      </c>
      <c r="J16" s="91">
        <f t="shared" si="19"/>
        <v>60.00000000001535</v>
      </c>
      <c r="K16" s="92">
        <v>10</v>
      </c>
      <c r="L16" s="93">
        <v>5.9</v>
      </c>
      <c r="M16" s="94">
        <v>1.2</v>
      </c>
      <c r="N16" s="95">
        <f t="shared" si="20"/>
        <v>37916.13762491731</v>
      </c>
      <c r="O16" s="96">
        <f t="shared" si="11"/>
        <v>37916.187624917315</v>
      </c>
      <c r="P16" s="97">
        <f t="shared" si="12"/>
        <v>134.5029980149761</v>
      </c>
      <c r="Q16" s="98">
        <f t="shared" si="0"/>
        <v>5.6042915839573375</v>
      </c>
      <c r="R16" s="99">
        <f t="shared" si="13"/>
        <v>0</v>
      </c>
      <c r="S16" s="99">
        <f t="shared" si="14"/>
        <v>0</v>
      </c>
      <c r="T16" s="99">
        <f t="shared" si="15"/>
        <v>0</v>
      </c>
      <c r="U16" s="99">
        <f t="shared" si="16"/>
        <v>0</v>
      </c>
      <c r="V16" s="99">
        <f>IF(A23="D",1,0)</f>
        <v>0</v>
      </c>
      <c r="W16" s="100">
        <f t="shared" si="1"/>
        <v>1</v>
      </c>
      <c r="X16" s="100">
        <f t="shared" si="2"/>
        <v>1</v>
      </c>
      <c r="Y16" s="99">
        <f t="shared" si="3"/>
        <v>4</v>
      </c>
      <c r="Z16" s="99" t="str">
        <f t="shared" si="4"/>
        <v>N</v>
      </c>
      <c r="AA16" s="99">
        <f t="shared" si="5"/>
        <v>155</v>
      </c>
      <c r="AB16" s="99">
        <f t="shared" si="6"/>
        <v>0</v>
      </c>
      <c r="AC16" s="101">
        <f t="shared" si="7"/>
        <v>0</v>
      </c>
      <c r="AD16" s="124"/>
      <c r="AE16" s="102">
        <f t="shared" si="8"/>
        <v>0</v>
      </c>
      <c r="AF16" s="103">
        <f t="shared" si="18"/>
        <v>600.0000000001535</v>
      </c>
    </row>
    <row r="17" spans="1:32" s="99" customFormat="1" ht="14.25">
      <c r="A17" s="85"/>
      <c r="B17" s="86" t="s">
        <v>37</v>
      </c>
      <c r="C17" s="87">
        <v>3</v>
      </c>
      <c r="D17" s="88">
        <v>0</v>
      </c>
      <c r="E17" s="87" t="s">
        <v>35</v>
      </c>
      <c r="F17" s="89">
        <v>155</v>
      </c>
      <c r="G17" s="88">
        <v>0</v>
      </c>
      <c r="H17" s="90" t="s">
        <v>36</v>
      </c>
      <c r="I17" s="104">
        <f t="shared" si="9"/>
      </c>
      <c r="J17" s="91">
        <f t="shared" si="19"/>
        <v>60.00000000001535</v>
      </c>
      <c r="K17" s="92">
        <v>10</v>
      </c>
      <c r="L17" s="93">
        <v>5.9</v>
      </c>
      <c r="M17" s="94">
        <v>1.2</v>
      </c>
      <c r="N17" s="95">
        <f t="shared" si="20"/>
        <v>37916.43345825065</v>
      </c>
      <c r="O17" s="96">
        <f t="shared" si="11"/>
        <v>37916.48345825065</v>
      </c>
      <c r="P17" s="97">
        <f t="shared" si="12"/>
        <v>141.6029980149761</v>
      </c>
      <c r="Q17" s="98">
        <f t="shared" si="0"/>
        <v>5.900124917290671</v>
      </c>
      <c r="R17" s="99">
        <f t="shared" si="13"/>
        <v>0</v>
      </c>
      <c r="S17" s="99">
        <f t="shared" si="14"/>
        <v>0</v>
      </c>
      <c r="T17" s="99">
        <f t="shared" si="15"/>
        <v>0</v>
      </c>
      <c r="U17" s="99">
        <f t="shared" si="16"/>
        <v>0</v>
      </c>
      <c r="V17" s="99">
        <f>IF(A25="D",1,0)</f>
        <v>0</v>
      </c>
      <c r="W17" s="100">
        <f t="shared" si="1"/>
        <v>1</v>
      </c>
      <c r="X17" s="100">
        <f t="shared" si="2"/>
        <v>1</v>
      </c>
      <c r="Y17" s="99">
        <f t="shared" si="3"/>
        <v>3</v>
      </c>
      <c r="Z17" s="99" t="str">
        <f t="shared" si="4"/>
        <v>N</v>
      </c>
      <c r="AA17" s="99">
        <f t="shared" si="5"/>
        <v>155</v>
      </c>
      <c r="AB17" s="99">
        <f t="shared" si="6"/>
        <v>0</v>
      </c>
      <c r="AC17" s="101">
        <f t="shared" si="7"/>
        <v>0</v>
      </c>
      <c r="AD17" s="105"/>
      <c r="AE17" s="102">
        <f t="shared" si="8"/>
        <v>0</v>
      </c>
      <c r="AF17" s="103">
        <f t="shared" si="18"/>
        <v>600.0000000001535</v>
      </c>
    </row>
    <row r="18" spans="1:32" s="99" customFormat="1" ht="14.25">
      <c r="A18" s="85"/>
      <c r="B18" s="86" t="s">
        <v>37</v>
      </c>
      <c r="C18" s="87">
        <v>2</v>
      </c>
      <c r="D18" s="88">
        <v>30</v>
      </c>
      <c r="E18" s="87" t="s">
        <v>35</v>
      </c>
      <c r="F18" s="89">
        <v>155</v>
      </c>
      <c r="G18" s="88">
        <v>0</v>
      </c>
      <c r="H18" s="90" t="s">
        <v>36</v>
      </c>
      <c r="I18" s="104">
        <f t="shared" si="9"/>
      </c>
      <c r="J18" s="91">
        <f t="shared" si="19"/>
        <v>29.99999999999126</v>
      </c>
      <c r="K18" s="92">
        <v>10</v>
      </c>
      <c r="L18" s="93">
        <f>J18/K18</f>
        <v>2.999999999999126</v>
      </c>
      <c r="M18" s="94">
        <v>1.2</v>
      </c>
      <c r="N18" s="95">
        <f t="shared" si="20"/>
        <v>37916.60845825065</v>
      </c>
      <c r="O18" s="96">
        <f t="shared" si="11"/>
        <v>37916.658458250655</v>
      </c>
      <c r="P18" s="97">
        <f t="shared" si="12"/>
        <v>145.8029980149752</v>
      </c>
      <c r="Q18" s="98">
        <f t="shared" si="0"/>
        <v>6.075124917290633</v>
      </c>
      <c r="R18" s="99">
        <f t="shared" si="13"/>
        <v>0</v>
      </c>
      <c r="S18" s="99">
        <f t="shared" si="14"/>
        <v>0</v>
      </c>
      <c r="T18" s="99">
        <f t="shared" si="15"/>
        <v>0</v>
      </c>
      <c r="U18" s="99">
        <f t="shared" si="16"/>
        <v>0</v>
      </c>
      <c r="V18" s="99">
        <f>IF(A26="D",1,0)</f>
        <v>0</v>
      </c>
      <c r="W18" s="100">
        <f t="shared" si="1"/>
        <v>1</v>
      </c>
      <c r="X18" s="100">
        <f t="shared" si="2"/>
        <v>1</v>
      </c>
      <c r="Y18" s="99">
        <f t="shared" si="3"/>
        <v>2</v>
      </c>
      <c r="Z18" s="99" t="str">
        <f t="shared" si="4"/>
        <v>N</v>
      </c>
      <c r="AA18" s="99">
        <f t="shared" si="5"/>
        <v>155</v>
      </c>
      <c r="AB18" s="99">
        <f t="shared" si="6"/>
        <v>0</v>
      </c>
      <c r="AC18" s="101">
        <f t="shared" si="7"/>
        <v>0</v>
      </c>
      <c r="AD18" s="105"/>
      <c r="AE18" s="102">
        <f t="shared" si="8"/>
        <v>0</v>
      </c>
      <c r="AF18" s="103">
        <f t="shared" si="18"/>
        <v>299.9999999999126</v>
      </c>
    </row>
    <row r="19" spans="1:32" s="99" customFormat="1" ht="14.25">
      <c r="A19" s="125" t="s">
        <v>41</v>
      </c>
      <c r="B19" s="107" t="s">
        <v>67</v>
      </c>
      <c r="C19" s="108">
        <v>2</v>
      </c>
      <c r="D19" s="109">
        <v>0</v>
      </c>
      <c r="E19" s="108" t="s">
        <v>35</v>
      </c>
      <c r="F19" s="111">
        <v>155</v>
      </c>
      <c r="G19" s="109">
        <v>0</v>
      </c>
      <c r="H19" s="122" t="s">
        <v>36</v>
      </c>
      <c r="I19" s="112">
        <f t="shared" si="9"/>
        <v>28.484703549201797</v>
      </c>
      <c r="J19" s="113">
        <f t="shared" si="19"/>
        <v>29.99999999994775</v>
      </c>
      <c r="K19" s="92">
        <v>10</v>
      </c>
      <c r="L19" s="114">
        <f>J19/K19</f>
        <v>2.999999999994775</v>
      </c>
      <c r="M19" s="115">
        <v>2</v>
      </c>
      <c r="N19" s="116">
        <f t="shared" si="20"/>
        <v>37916.783458250655</v>
      </c>
      <c r="O19" s="117">
        <f t="shared" si="11"/>
        <v>37916.86679158399</v>
      </c>
      <c r="P19" s="126">
        <f t="shared" si="12"/>
        <v>150.80299801496997</v>
      </c>
      <c r="Q19" s="98">
        <f t="shared" si="0"/>
        <v>6.283458250623749</v>
      </c>
      <c r="R19" s="99">
        <f t="shared" si="13"/>
        <v>0</v>
      </c>
      <c r="S19" s="123">
        <f t="shared" si="14"/>
        <v>1</v>
      </c>
      <c r="T19" s="99">
        <f t="shared" si="15"/>
        <v>0</v>
      </c>
      <c r="U19" s="99">
        <f t="shared" si="16"/>
        <v>0</v>
      </c>
      <c r="V19" s="99">
        <f>IF(A25="D",1,0)</f>
        <v>0</v>
      </c>
      <c r="W19" s="100">
        <f t="shared" si="1"/>
        <v>1</v>
      </c>
      <c r="X19" s="100">
        <f t="shared" si="2"/>
        <v>1</v>
      </c>
      <c r="Y19" s="118">
        <f t="shared" si="3"/>
        <v>2</v>
      </c>
      <c r="Z19" s="118" t="str">
        <f t="shared" si="4"/>
        <v>N</v>
      </c>
      <c r="AA19" s="118">
        <f t="shared" si="5"/>
        <v>155</v>
      </c>
      <c r="AB19" s="118" t="str">
        <f t="shared" si="6"/>
        <v>V</v>
      </c>
      <c r="AC19" s="119">
        <f t="shared" si="7"/>
        <v>37916.783458250655</v>
      </c>
      <c r="AD19" s="120">
        <v>37048</v>
      </c>
      <c r="AE19" s="121">
        <f t="shared" si="8"/>
        <v>28.484703549201797</v>
      </c>
      <c r="AF19" s="103">
        <f t="shared" si="18"/>
        <v>299.9999999994775</v>
      </c>
    </row>
    <row r="20" spans="1:32" s="99" customFormat="1" ht="14.25">
      <c r="A20" s="85"/>
      <c r="B20" s="86" t="s">
        <v>37</v>
      </c>
      <c r="C20" s="87">
        <v>1</v>
      </c>
      <c r="D20" s="88">
        <v>30</v>
      </c>
      <c r="E20" s="87" t="s">
        <v>35</v>
      </c>
      <c r="F20" s="89">
        <v>155</v>
      </c>
      <c r="G20" s="88">
        <v>0</v>
      </c>
      <c r="H20" s="90" t="s">
        <v>36</v>
      </c>
      <c r="I20" s="104">
        <f t="shared" si="9"/>
      </c>
      <c r="J20" s="91">
        <f t="shared" si="19"/>
        <v>29.99999999999126</v>
      </c>
      <c r="K20" s="92">
        <v>10</v>
      </c>
      <c r="L20" s="93">
        <v>3</v>
      </c>
      <c r="M20" s="94">
        <v>1.2</v>
      </c>
      <c r="N20" s="95">
        <f t="shared" si="20"/>
        <v>37916.99179158399</v>
      </c>
      <c r="O20" s="96">
        <f t="shared" si="11"/>
        <v>37917.04179158399</v>
      </c>
      <c r="P20" s="97">
        <f t="shared" si="12"/>
        <v>155.00299801496996</v>
      </c>
      <c r="Q20" s="98">
        <f t="shared" si="0"/>
        <v>6.458458250623749</v>
      </c>
      <c r="R20" s="99">
        <f t="shared" si="13"/>
        <v>0</v>
      </c>
      <c r="S20" s="99">
        <f t="shared" si="14"/>
        <v>0</v>
      </c>
      <c r="T20" s="99">
        <f t="shared" si="15"/>
        <v>0</v>
      </c>
      <c r="U20" s="99">
        <f t="shared" si="16"/>
        <v>0</v>
      </c>
      <c r="V20" s="99">
        <f>IF(A28="D",1,0)</f>
        <v>0</v>
      </c>
      <c r="W20" s="100">
        <f t="shared" si="1"/>
        <v>1</v>
      </c>
      <c r="X20" s="100">
        <f t="shared" si="2"/>
        <v>1</v>
      </c>
      <c r="Y20" s="99">
        <f t="shared" si="3"/>
        <v>1</v>
      </c>
      <c r="Z20" s="99" t="str">
        <f t="shared" si="4"/>
        <v>N</v>
      </c>
      <c r="AA20" s="99">
        <f t="shared" si="5"/>
        <v>155</v>
      </c>
      <c r="AB20" s="99">
        <f t="shared" si="6"/>
        <v>0</v>
      </c>
      <c r="AC20" s="101">
        <f t="shared" si="7"/>
        <v>0</v>
      </c>
      <c r="AD20" s="105"/>
      <c r="AE20" s="102">
        <f t="shared" si="8"/>
        <v>0</v>
      </c>
      <c r="AF20" s="103">
        <f t="shared" si="18"/>
        <v>299.9999999999126</v>
      </c>
    </row>
    <row r="21" spans="1:32" s="99" customFormat="1" ht="14.25">
      <c r="A21" s="85"/>
      <c r="B21" s="86" t="s">
        <v>37</v>
      </c>
      <c r="C21" s="87">
        <v>1</v>
      </c>
      <c r="D21" s="88">
        <v>0</v>
      </c>
      <c r="E21" s="87" t="s">
        <v>35</v>
      </c>
      <c r="F21" s="89">
        <v>155</v>
      </c>
      <c r="G21" s="88">
        <v>0</v>
      </c>
      <c r="H21" s="90" t="s">
        <v>36</v>
      </c>
      <c r="I21" s="104">
        <f t="shared" si="9"/>
      </c>
      <c r="J21" s="91">
        <f t="shared" si="19"/>
        <v>29.99999999999126</v>
      </c>
      <c r="K21" s="92">
        <v>10</v>
      </c>
      <c r="L21" s="93">
        <v>3.2</v>
      </c>
      <c r="M21" s="94">
        <v>1.2</v>
      </c>
      <c r="N21" s="95">
        <f t="shared" si="20"/>
        <v>37917.175124917325</v>
      </c>
      <c r="O21" s="96">
        <f t="shared" si="11"/>
        <v>37917.22512491733</v>
      </c>
      <c r="P21" s="97">
        <f t="shared" si="12"/>
        <v>159.40299801496994</v>
      </c>
      <c r="Q21" s="98">
        <f t="shared" si="0"/>
        <v>6.6417915839570805</v>
      </c>
      <c r="R21" s="99">
        <f t="shared" si="13"/>
        <v>0</v>
      </c>
      <c r="S21" s="99">
        <f t="shared" si="14"/>
        <v>0</v>
      </c>
      <c r="T21" s="99">
        <f t="shared" si="15"/>
        <v>0</v>
      </c>
      <c r="U21" s="99">
        <f t="shared" si="16"/>
        <v>0</v>
      </c>
      <c r="V21" s="99">
        <f>IF(A27="D",1,0)</f>
        <v>0</v>
      </c>
      <c r="W21" s="100">
        <f t="shared" si="1"/>
        <v>1</v>
      </c>
      <c r="X21" s="100">
        <f t="shared" si="2"/>
        <v>1</v>
      </c>
      <c r="Y21" s="99">
        <f t="shared" si="3"/>
        <v>1</v>
      </c>
      <c r="Z21" s="99" t="str">
        <f t="shared" si="4"/>
        <v>N</v>
      </c>
      <c r="AA21" s="99">
        <f t="shared" si="5"/>
        <v>155</v>
      </c>
      <c r="AB21" s="99">
        <f t="shared" si="6"/>
        <v>0</v>
      </c>
      <c r="AC21" s="101">
        <f t="shared" si="7"/>
        <v>0</v>
      </c>
      <c r="AD21" s="105"/>
      <c r="AE21" s="102">
        <f t="shared" si="8"/>
        <v>0</v>
      </c>
      <c r="AF21" s="103">
        <f t="shared" si="18"/>
        <v>299.9999999999126</v>
      </c>
    </row>
    <row r="22" spans="1:32" s="99" customFormat="1" ht="14.25">
      <c r="A22" s="85"/>
      <c r="B22" s="86" t="s">
        <v>37</v>
      </c>
      <c r="C22" s="87">
        <v>0</v>
      </c>
      <c r="D22" s="88">
        <v>30</v>
      </c>
      <c r="E22" s="87" t="s">
        <v>35</v>
      </c>
      <c r="F22" s="89">
        <v>155</v>
      </c>
      <c r="G22" s="88">
        <v>0</v>
      </c>
      <c r="H22" s="90" t="s">
        <v>36</v>
      </c>
      <c r="I22" s="104">
        <f t="shared" si="9"/>
      </c>
      <c r="J22" s="91">
        <f t="shared" si="19"/>
        <v>29.99999999999126</v>
      </c>
      <c r="K22" s="92">
        <v>10</v>
      </c>
      <c r="L22" s="93">
        <f>J22/K22</f>
        <v>2.999999999999126</v>
      </c>
      <c r="M22" s="94">
        <v>1.2</v>
      </c>
      <c r="N22" s="95">
        <f t="shared" si="20"/>
        <v>37917.35012491733</v>
      </c>
      <c r="O22" s="96">
        <f t="shared" si="11"/>
        <v>37917.40012491733</v>
      </c>
      <c r="P22" s="97">
        <f t="shared" si="12"/>
        <v>163.60299801496905</v>
      </c>
      <c r="Q22" s="98">
        <f t="shared" si="0"/>
        <v>6.816791583957044</v>
      </c>
      <c r="R22" s="99">
        <f t="shared" si="13"/>
        <v>0</v>
      </c>
      <c r="S22" s="99">
        <f t="shared" si="14"/>
        <v>0</v>
      </c>
      <c r="T22" s="99">
        <f t="shared" si="15"/>
        <v>0</v>
      </c>
      <c r="U22" s="99">
        <f t="shared" si="16"/>
        <v>0</v>
      </c>
      <c r="V22" s="99">
        <f>IF(A30="D",1,0)</f>
        <v>0</v>
      </c>
      <c r="W22" s="100">
        <f t="shared" si="1"/>
        <v>1</v>
      </c>
      <c r="X22" s="100">
        <f t="shared" si="2"/>
        <v>1</v>
      </c>
      <c r="Y22" s="99">
        <f t="shared" si="3"/>
        <v>0</v>
      </c>
      <c r="Z22" s="99" t="str">
        <f t="shared" si="4"/>
        <v>N</v>
      </c>
      <c r="AA22" s="99">
        <f t="shared" si="5"/>
        <v>155</v>
      </c>
      <c r="AB22" s="99">
        <f t="shared" si="6"/>
        <v>0</v>
      </c>
      <c r="AC22" s="101">
        <f t="shared" si="7"/>
        <v>0</v>
      </c>
      <c r="AD22" s="105"/>
      <c r="AE22" s="102">
        <f t="shared" si="8"/>
        <v>0</v>
      </c>
      <c r="AF22" s="103">
        <f t="shared" si="18"/>
        <v>299.9999999999126</v>
      </c>
    </row>
    <row r="23" spans="1:32" s="99" customFormat="1" ht="14.25">
      <c r="A23" s="125" t="s">
        <v>38</v>
      </c>
      <c r="B23" s="107" t="s">
        <v>62</v>
      </c>
      <c r="C23" s="108">
        <v>0</v>
      </c>
      <c r="D23" s="109">
        <v>0</v>
      </c>
      <c r="E23" s="108"/>
      <c r="F23" s="111">
        <v>155</v>
      </c>
      <c r="G23" s="109">
        <v>0</v>
      </c>
      <c r="H23" s="122" t="s">
        <v>36</v>
      </c>
      <c r="I23" s="112">
        <f t="shared" si="9"/>
        <v>24.54180737433871</v>
      </c>
      <c r="J23" s="113">
        <f t="shared" si="19"/>
        <v>29.99999999999126</v>
      </c>
      <c r="K23" s="92">
        <v>10</v>
      </c>
      <c r="L23" s="114">
        <f>J23/K23</f>
        <v>2.999999999999126</v>
      </c>
      <c r="M23" s="115">
        <v>14</v>
      </c>
      <c r="N23" s="116">
        <f t="shared" si="20"/>
        <v>37917.52512491733</v>
      </c>
      <c r="O23" s="117">
        <f t="shared" si="11"/>
        <v>37918.10845825067</v>
      </c>
      <c r="P23" s="97">
        <f t="shared" si="12"/>
        <v>180.60299801496816</v>
      </c>
      <c r="Q23" s="98">
        <f t="shared" si="0"/>
        <v>7.5251249172903405</v>
      </c>
      <c r="R23" s="123">
        <f t="shared" si="13"/>
        <v>1</v>
      </c>
      <c r="S23" s="99">
        <f t="shared" si="14"/>
        <v>0</v>
      </c>
      <c r="T23" s="99">
        <f t="shared" si="15"/>
        <v>0</v>
      </c>
      <c r="U23" s="99">
        <f t="shared" si="16"/>
        <v>0</v>
      </c>
      <c r="V23" s="99">
        <f>IF(A29="D",1,0)</f>
        <v>0</v>
      </c>
      <c r="W23" s="100">
        <f t="shared" si="1"/>
        <v>-1</v>
      </c>
      <c r="X23" s="100">
        <f t="shared" si="2"/>
        <v>1</v>
      </c>
      <c r="Y23" s="118">
        <f t="shared" si="3"/>
        <v>0</v>
      </c>
      <c r="Z23" s="118">
        <f t="shared" si="4"/>
        <v>0</v>
      </c>
      <c r="AA23" s="118">
        <f t="shared" si="5"/>
        <v>155</v>
      </c>
      <c r="AB23" s="118" t="str">
        <f t="shared" si="6"/>
        <v>R</v>
      </c>
      <c r="AC23" s="119">
        <f t="shared" si="7"/>
        <v>37917.52512491733</v>
      </c>
      <c r="AD23" s="120">
        <v>37169</v>
      </c>
      <c r="AE23" s="121">
        <f t="shared" si="8"/>
        <v>24.54180737433871</v>
      </c>
      <c r="AF23" s="103">
        <f t="shared" si="18"/>
        <v>299.9999999999126</v>
      </c>
    </row>
    <row r="24" spans="1:32" s="99" customFormat="1" ht="14.25">
      <c r="A24" s="85"/>
      <c r="B24" s="86" t="s">
        <v>37</v>
      </c>
      <c r="C24" s="87">
        <v>0</v>
      </c>
      <c r="D24" s="88">
        <v>30</v>
      </c>
      <c r="E24" s="87" t="s">
        <v>40</v>
      </c>
      <c r="F24" s="89">
        <v>155</v>
      </c>
      <c r="G24" s="88">
        <v>0</v>
      </c>
      <c r="H24" s="90" t="s">
        <v>36</v>
      </c>
      <c r="I24" s="104">
        <f t="shared" si="9"/>
      </c>
      <c r="J24" s="91">
        <f t="shared" si="19"/>
        <v>29.99999999999126</v>
      </c>
      <c r="K24" s="92">
        <v>10</v>
      </c>
      <c r="L24" s="93">
        <v>3.3</v>
      </c>
      <c r="M24" s="94">
        <v>1.2</v>
      </c>
      <c r="N24" s="95">
        <f t="shared" si="20"/>
        <v>37918.24595825066</v>
      </c>
      <c r="O24" s="96">
        <f t="shared" si="11"/>
        <v>37918.29595825067</v>
      </c>
      <c r="P24" s="97">
        <f t="shared" si="12"/>
        <v>185.10299801496816</v>
      </c>
      <c r="Q24" s="98">
        <f t="shared" si="0"/>
        <v>7.7126249172903405</v>
      </c>
      <c r="R24" s="99">
        <f t="shared" si="13"/>
        <v>0</v>
      </c>
      <c r="S24" s="99">
        <f t="shared" si="14"/>
        <v>0</v>
      </c>
      <c r="T24" s="99">
        <f t="shared" si="15"/>
        <v>0</v>
      </c>
      <c r="U24" s="99">
        <f t="shared" si="16"/>
        <v>0</v>
      </c>
      <c r="V24" s="99">
        <f>IF(A32="D",1,0)</f>
        <v>0</v>
      </c>
      <c r="W24" s="100">
        <f t="shared" si="1"/>
        <v>-1</v>
      </c>
      <c r="X24" s="100">
        <f t="shared" si="2"/>
        <v>1</v>
      </c>
      <c r="Y24" s="99">
        <f t="shared" si="3"/>
        <v>0</v>
      </c>
      <c r="Z24" s="99" t="str">
        <f t="shared" si="4"/>
        <v>S</v>
      </c>
      <c r="AA24" s="99">
        <f t="shared" si="5"/>
        <v>155</v>
      </c>
      <c r="AB24" s="99">
        <f t="shared" si="6"/>
        <v>0</v>
      </c>
      <c r="AC24" s="101">
        <f t="shared" si="7"/>
        <v>0</v>
      </c>
      <c r="AD24" s="105"/>
      <c r="AE24" s="102">
        <f t="shared" si="8"/>
        <v>0</v>
      </c>
      <c r="AF24" s="103">
        <f t="shared" si="18"/>
        <v>299.9999999999126</v>
      </c>
    </row>
    <row r="25" spans="1:32" s="99" customFormat="1" ht="14.25">
      <c r="A25" s="85"/>
      <c r="B25" s="86" t="s">
        <v>37</v>
      </c>
      <c r="C25" s="87">
        <v>1</v>
      </c>
      <c r="D25" s="88">
        <v>0</v>
      </c>
      <c r="E25" s="87" t="s">
        <v>40</v>
      </c>
      <c r="F25" s="89">
        <v>155</v>
      </c>
      <c r="G25" s="88">
        <v>0</v>
      </c>
      <c r="H25" s="90" t="s">
        <v>36</v>
      </c>
      <c r="I25" s="104">
        <f t="shared" si="9"/>
      </c>
      <c r="J25" s="91">
        <f t="shared" si="19"/>
        <v>29.99999999999126</v>
      </c>
      <c r="K25" s="92">
        <v>10</v>
      </c>
      <c r="L25" s="93">
        <v>2.8</v>
      </c>
      <c r="M25" s="94">
        <v>1.2</v>
      </c>
      <c r="N25" s="95">
        <f t="shared" si="20"/>
        <v>37918.412624917335</v>
      </c>
      <c r="O25" s="96">
        <f t="shared" si="11"/>
        <v>37918.46262491734</v>
      </c>
      <c r="P25" s="97">
        <f t="shared" si="12"/>
        <v>189.10299801496816</v>
      </c>
      <c r="Q25" s="98">
        <f t="shared" si="0"/>
        <v>7.879291583957007</v>
      </c>
      <c r="R25" s="99">
        <f t="shared" si="13"/>
        <v>0</v>
      </c>
      <c r="S25" s="99">
        <f t="shared" si="14"/>
        <v>0</v>
      </c>
      <c r="T25" s="99">
        <f t="shared" si="15"/>
        <v>0</v>
      </c>
      <c r="U25" s="99">
        <f t="shared" si="16"/>
        <v>0</v>
      </c>
      <c r="V25" s="99">
        <f>IF(A31="D",1,0)</f>
        <v>0</v>
      </c>
      <c r="W25" s="100">
        <f t="shared" si="1"/>
        <v>-1</v>
      </c>
      <c r="X25" s="100">
        <f t="shared" si="2"/>
        <v>1</v>
      </c>
      <c r="Y25" s="99">
        <f t="shared" si="3"/>
        <v>1</v>
      </c>
      <c r="Z25" s="99" t="str">
        <f t="shared" si="4"/>
        <v>S</v>
      </c>
      <c r="AA25" s="99">
        <f t="shared" si="5"/>
        <v>155</v>
      </c>
      <c r="AB25" s="99">
        <f t="shared" si="6"/>
        <v>0</v>
      </c>
      <c r="AC25" s="101">
        <f t="shared" si="7"/>
        <v>0</v>
      </c>
      <c r="AD25" s="105"/>
      <c r="AE25" s="102">
        <f t="shared" si="8"/>
        <v>0</v>
      </c>
      <c r="AF25" s="103">
        <f t="shared" si="18"/>
        <v>299.9999999999126</v>
      </c>
    </row>
    <row r="26" spans="1:32" s="99" customFormat="1" ht="14.25">
      <c r="A26" s="85"/>
      <c r="B26" s="86" t="s">
        <v>37</v>
      </c>
      <c r="C26" s="87">
        <v>1</v>
      </c>
      <c r="D26" s="88">
        <v>30</v>
      </c>
      <c r="E26" s="87" t="s">
        <v>40</v>
      </c>
      <c r="F26" s="89">
        <v>155</v>
      </c>
      <c r="G26" s="88">
        <v>0</v>
      </c>
      <c r="H26" s="90" t="s">
        <v>36</v>
      </c>
      <c r="I26" s="104">
        <f t="shared" si="9"/>
      </c>
      <c r="J26" s="91">
        <f t="shared" si="19"/>
        <v>29.99999999999126</v>
      </c>
      <c r="K26" s="92">
        <v>10</v>
      </c>
      <c r="L26" s="93">
        <v>2.7</v>
      </c>
      <c r="M26" s="94">
        <v>1.2</v>
      </c>
      <c r="N26" s="95">
        <f t="shared" si="20"/>
        <v>37918.57512491734</v>
      </c>
      <c r="O26" s="96">
        <f t="shared" si="11"/>
        <v>37918.625124917344</v>
      </c>
      <c r="P26" s="97">
        <f t="shared" si="12"/>
        <v>193.00299801496814</v>
      </c>
      <c r="Q26" s="98">
        <f t="shared" si="0"/>
        <v>8.041791583957005</v>
      </c>
      <c r="R26" s="99">
        <f t="shared" si="13"/>
        <v>0</v>
      </c>
      <c r="S26" s="99">
        <f t="shared" si="14"/>
        <v>0</v>
      </c>
      <c r="T26" s="99">
        <f t="shared" si="15"/>
        <v>0</v>
      </c>
      <c r="U26" s="99">
        <f t="shared" si="16"/>
        <v>0</v>
      </c>
      <c r="V26" s="99">
        <f>IF(A35="D",1,0)</f>
        <v>0</v>
      </c>
      <c r="W26" s="100">
        <f t="shared" si="1"/>
        <v>-1</v>
      </c>
      <c r="X26" s="100">
        <f t="shared" si="2"/>
        <v>1</v>
      </c>
      <c r="Y26" s="99">
        <f t="shared" si="3"/>
        <v>1</v>
      </c>
      <c r="Z26" s="99" t="str">
        <f t="shared" si="4"/>
        <v>S</v>
      </c>
      <c r="AA26" s="99">
        <f t="shared" si="5"/>
        <v>155</v>
      </c>
      <c r="AB26" s="99">
        <f t="shared" si="6"/>
        <v>0</v>
      </c>
      <c r="AC26" s="101">
        <f t="shared" si="7"/>
        <v>0</v>
      </c>
      <c r="AD26" s="105"/>
      <c r="AE26" s="102">
        <f t="shared" si="8"/>
        <v>0</v>
      </c>
      <c r="AF26" s="103">
        <f t="shared" si="18"/>
        <v>299.9999999999126</v>
      </c>
    </row>
    <row r="27" spans="1:32" s="99" customFormat="1" ht="14.25">
      <c r="A27" s="106" t="s">
        <v>61</v>
      </c>
      <c r="B27" s="107" t="s">
        <v>68</v>
      </c>
      <c r="C27" s="111">
        <v>2</v>
      </c>
      <c r="D27" s="109">
        <v>0</v>
      </c>
      <c r="E27" s="108" t="s">
        <v>40</v>
      </c>
      <c r="F27" s="111">
        <v>155</v>
      </c>
      <c r="G27" s="109">
        <v>0</v>
      </c>
      <c r="H27" s="122" t="s">
        <v>36</v>
      </c>
      <c r="I27" s="112">
        <f t="shared" si="9"/>
        <v>24.549184423519467</v>
      </c>
      <c r="J27" s="113">
        <f t="shared" si="19"/>
        <v>29.99999999999126</v>
      </c>
      <c r="K27" s="92">
        <v>10</v>
      </c>
      <c r="L27" s="114">
        <f>J27/K27</f>
        <v>2.999999999999126</v>
      </c>
      <c r="M27" s="115">
        <v>22</v>
      </c>
      <c r="N27" s="116">
        <f t="shared" si="20"/>
        <v>37918.750124917344</v>
      </c>
      <c r="O27" s="117">
        <f t="shared" si="11"/>
        <v>37919.66679158401</v>
      </c>
      <c r="P27" s="97">
        <f t="shared" si="12"/>
        <v>218.00299801496726</v>
      </c>
      <c r="Q27" s="98">
        <f t="shared" si="0"/>
        <v>9.083458250623636</v>
      </c>
      <c r="R27" s="99">
        <f t="shared" si="13"/>
        <v>0</v>
      </c>
      <c r="S27" s="99">
        <f t="shared" si="14"/>
        <v>0</v>
      </c>
      <c r="T27" s="99">
        <f t="shared" si="15"/>
        <v>1</v>
      </c>
      <c r="U27" s="99">
        <f t="shared" si="16"/>
        <v>0</v>
      </c>
      <c r="V27" s="99">
        <f>IF(A33="D",1,0)</f>
        <v>0</v>
      </c>
      <c r="W27" s="100">
        <f t="shared" si="1"/>
        <v>-1</v>
      </c>
      <c r="X27" s="100">
        <f t="shared" si="2"/>
        <v>1</v>
      </c>
      <c r="Y27" s="118">
        <f t="shared" si="3"/>
        <v>2</v>
      </c>
      <c r="Z27" s="118" t="str">
        <f t="shared" si="4"/>
        <v>S</v>
      </c>
      <c r="AA27" s="118">
        <f t="shared" si="5"/>
        <v>155</v>
      </c>
      <c r="AB27" s="118">
        <f t="shared" si="6"/>
        <v>0</v>
      </c>
      <c r="AC27" s="119">
        <f t="shared" si="7"/>
        <v>37918.750124917344</v>
      </c>
      <c r="AD27" s="120">
        <v>37170</v>
      </c>
      <c r="AE27" s="121">
        <f t="shared" si="8"/>
        <v>24.549184423519467</v>
      </c>
      <c r="AF27" s="103">
        <f t="shared" si="18"/>
        <v>299.9999999999126</v>
      </c>
    </row>
    <row r="28" spans="1:32" s="99" customFormat="1" ht="14.25">
      <c r="A28" s="85"/>
      <c r="B28" s="86" t="s">
        <v>37</v>
      </c>
      <c r="C28" s="87">
        <v>2</v>
      </c>
      <c r="D28" s="88">
        <v>30</v>
      </c>
      <c r="E28" s="87" t="s">
        <v>40</v>
      </c>
      <c r="F28" s="89">
        <v>155</v>
      </c>
      <c r="G28" s="88">
        <v>0</v>
      </c>
      <c r="H28" s="90" t="s">
        <v>36</v>
      </c>
      <c r="I28" s="104">
        <f t="shared" si="9"/>
      </c>
      <c r="J28" s="91">
        <f t="shared" si="19"/>
        <v>29.99999999994775</v>
      </c>
      <c r="K28" s="92">
        <v>10</v>
      </c>
      <c r="L28" s="93">
        <v>2.8</v>
      </c>
      <c r="M28" s="94">
        <v>1.2</v>
      </c>
      <c r="N28" s="95">
        <f t="shared" si="20"/>
        <v>37919.78345825068</v>
      </c>
      <c r="O28" s="96">
        <f t="shared" si="11"/>
        <v>37919.83345825068</v>
      </c>
      <c r="P28" s="97">
        <f t="shared" si="12"/>
        <v>222.00299801496726</v>
      </c>
      <c r="Q28" s="98">
        <f t="shared" si="0"/>
        <v>9.250124917290302</v>
      </c>
      <c r="R28" s="99">
        <f t="shared" si="13"/>
        <v>0</v>
      </c>
      <c r="S28" s="99">
        <f t="shared" si="14"/>
        <v>0</v>
      </c>
      <c r="T28" s="99">
        <f t="shared" si="15"/>
        <v>0</v>
      </c>
      <c r="U28" s="99">
        <f t="shared" si="16"/>
        <v>0</v>
      </c>
      <c r="V28" s="99">
        <f>IF(A37="D",1,0)</f>
        <v>0</v>
      </c>
      <c r="W28" s="100">
        <f t="shared" si="1"/>
        <v>-1</v>
      </c>
      <c r="X28" s="100">
        <f t="shared" si="2"/>
        <v>1</v>
      </c>
      <c r="Y28" s="99">
        <f t="shared" si="3"/>
        <v>2</v>
      </c>
      <c r="Z28" s="99" t="str">
        <f t="shared" si="4"/>
        <v>S</v>
      </c>
      <c r="AA28" s="99">
        <f t="shared" si="5"/>
        <v>155</v>
      </c>
      <c r="AB28" s="99">
        <f t="shared" si="6"/>
        <v>0</v>
      </c>
      <c r="AC28" s="101">
        <f t="shared" si="7"/>
        <v>0</v>
      </c>
      <c r="AD28" s="105"/>
      <c r="AE28" s="102">
        <f t="shared" si="8"/>
        <v>0</v>
      </c>
      <c r="AF28" s="103">
        <f t="shared" si="18"/>
        <v>299.9999999994775</v>
      </c>
    </row>
    <row r="29" spans="1:32" s="99" customFormat="1" ht="14.25">
      <c r="A29" s="85"/>
      <c r="B29" s="86" t="s">
        <v>37</v>
      </c>
      <c r="C29" s="87">
        <v>3</v>
      </c>
      <c r="D29" s="88">
        <v>0</v>
      </c>
      <c r="E29" s="87" t="s">
        <v>40</v>
      </c>
      <c r="F29" s="89">
        <v>155</v>
      </c>
      <c r="G29" s="88">
        <v>0</v>
      </c>
      <c r="H29" s="90" t="s">
        <v>36</v>
      </c>
      <c r="I29" s="104">
        <f t="shared" si="9"/>
      </c>
      <c r="J29" s="91">
        <f t="shared" si="19"/>
        <v>29.99999999999126</v>
      </c>
      <c r="K29" s="92">
        <v>10</v>
      </c>
      <c r="L29" s="93">
        <v>2.7</v>
      </c>
      <c r="M29" s="94">
        <v>1.2</v>
      </c>
      <c r="N29" s="95">
        <f t="shared" si="20"/>
        <v>37919.94595825068</v>
      </c>
      <c r="O29" s="96">
        <f t="shared" si="11"/>
        <v>37919.995958250685</v>
      </c>
      <c r="P29" s="97">
        <f t="shared" si="12"/>
        <v>225.90299801496724</v>
      </c>
      <c r="Q29" s="98">
        <f t="shared" si="0"/>
        <v>9.412624917290302</v>
      </c>
      <c r="R29" s="99">
        <f t="shared" si="13"/>
        <v>0</v>
      </c>
      <c r="S29" s="99">
        <f t="shared" si="14"/>
        <v>0</v>
      </c>
      <c r="T29" s="99">
        <f t="shared" si="15"/>
        <v>0</v>
      </c>
      <c r="U29" s="99">
        <f t="shared" si="16"/>
        <v>0</v>
      </c>
      <c r="V29" s="99">
        <f>IF(A38="D",1,0)</f>
        <v>0</v>
      </c>
      <c r="W29" s="100">
        <f t="shared" si="1"/>
        <v>-1</v>
      </c>
      <c r="X29" s="100">
        <f t="shared" si="2"/>
        <v>1</v>
      </c>
      <c r="Y29" s="99">
        <f t="shared" si="3"/>
        <v>3</v>
      </c>
      <c r="Z29" s="99" t="str">
        <f t="shared" si="4"/>
        <v>S</v>
      </c>
      <c r="AA29" s="99">
        <f t="shared" si="5"/>
        <v>155</v>
      </c>
      <c r="AB29" s="99">
        <f t="shared" si="6"/>
        <v>0</v>
      </c>
      <c r="AC29" s="101">
        <f t="shared" si="7"/>
        <v>0</v>
      </c>
      <c r="AD29" s="105"/>
      <c r="AE29" s="102">
        <f t="shared" si="8"/>
        <v>0</v>
      </c>
      <c r="AF29" s="103">
        <f t="shared" si="18"/>
        <v>299.9999999999126</v>
      </c>
    </row>
    <row r="30" spans="1:32" s="99" customFormat="1" ht="14.25">
      <c r="A30" s="85"/>
      <c r="B30" s="86" t="s">
        <v>37</v>
      </c>
      <c r="C30" s="87">
        <v>4</v>
      </c>
      <c r="D30" s="88">
        <v>0</v>
      </c>
      <c r="E30" s="87" t="s">
        <v>40</v>
      </c>
      <c r="F30" s="89">
        <v>155</v>
      </c>
      <c r="G30" s="88">
        <v>0</v>
      </c>
      <c r="H30" s="90" t="s">
        <v>36</v>
      </c>
      <c r="I30" s="104">
        <f t="shared" si="9"/>
      </c>
      <c r="J30" s="91">
        <f t="shared" si="19"/>
        <v>60.00000000001535</v>
      </c>
      <c r="K30" s="92">
        <v>10</v>
      </c>
      <c r="L30" s="93">
        <v>5.7</v>
      </c>
      <c r="M30" s="94">
        <v>1.2</v>
      </c>
      <c r="N30" s="95">
        <f t="shared" si="20"/>
        <v>37920.23345825069</v>
      </c>
      <c r="O30" s="96">
        <f t="shared" si="11"/>
        <v>37920.28345825069</v>
      </c>
      <c r="P30" s="97">
        <f t="shared" si="12"/>
        <v>232.80299801496722</v>
      </c>
      <c r="Q30" s="98">
        <f t="shared" si="0"/>
        <v>9.700124917290301</v>
      </c>
      <c r="R30" s="99">
        <f t="shared" si="13"/>
        <v>0</v>
      </c>
      <c r="S30" s="99">
        <f t="shared" si="14"/>
        <v>0</v>
      </c>
      <c r="T30" s="99">
        <f t="shared" si="15"/>
        <v>0</v>
      </c>
      <c r="U30" s="99">
        <f t="shared" si="16"/>
        <v>0</v>
      </c>
      <c r="V30" s="99">
        <f>IF(A39="D",1,0)</f>
        <v>0</v>
      </c>
      <c r="W30" s="100">
        <f t="shared" si="1"/>
        <v>-1</v>
      </c>
      <c r="X30" s="100">
        <f t="shared" si="2"/>
        <v>1</v>
      </c>
      <c r="Y30" s="99">
        <f t="shared" si="3"/>
        <v>4</v>
      </c>
      <c r="Z30" s="99" t="str">
        <f t="shared" si="4"/>
        <v>S</v>
      </c>
      <c r="AA30" s="99">
        <f t="shared" si="5"/>
        <v>155</v>
      </c>
      <c r="AB30" s="99">
        <f t="shared" si="6"/>
        <v>0</v>
      </c>
      <c r="AC30" s="101">
        <f t="shared" si="7"/>
        <v>0</v>
      </c>
      <c r="AD30" s="105"/>
      <c r="AE30" s="102">
        <f t="shared" si="8"/>
        <v>0</v>
      </c>
      <c r="AF30" s="103">
        <f t="shared" si="18"/>
        <v>600.0000000001535</v>
      </c>
    </row>
    <row r="31" spans="1:32" s="99" customFormat="1" ht="14.25">
      <c r="A31" s="125" t="s">
        <v>38</v>
      </c>
      <c r="B31" s="107" t="s">
        <v>64</v>
      </c>
      <c r="C31" s="108">
        <v>5</v>
      </c>
      <c r="D31" s="109">
        <v>0</v>
      </c>
      <c r="E31" s="108" t="s">
        <v>40</v>
      </c>
      <c r="F31" s="111">
        <v>155</v>
      </c>
      <c r="G31" s="109">
        <v>0</v>
      </c>
      <c r="H31" s="122" t="s">
        <v>36</v>
      </c>
      <c r="I31" s="112">
        <f t="shared" si="9"/>
        <v>24.574321035541676</v>
      </c>
      <c r="J31" s="113">
        <f t="shared" si="19"/>
        <v>60.00000000001535</v>
      </c>
      <c r="K31" s="92">
        <v>10</v>
      </c>
      <c r="L31" s="114">
        <v>5.6</v>
      </c>
      <c r="M31" s="115">
        <v>12</v>
      </c>
      <c r="N31" s="116">
        <f t="shared" si="20"/>
        <v>37920.51679158402</v>
      </c>
      <c r="O31" s="117">
        <f t="shared" si="11"/>
        <v>37921.01679158402</v>
      </c>
      <c r="P31" s="126">
        <f t="shared" si="12"/>
        <v>250.4029980149672</v>
      </c>
      <c r="Q31" s="134">
        <f t="shared" si="0"/>
        <v>10.433458250623634</v>
      </c>
      <c r="R31" s="99">
        <f t="shared" si="13"/>
        <v>1</v>
      </c>
      <c r="S31" s="99">
        <f t="shared" si="14"/>
        <v>0</v>
      </c>
      <c r="T31" s="99">
        <f t="shared" si="15"/>
        <v>0</v>
      </c>
      <c r="U31" s="99">
        <f t="shared" si="16"/>
        <v>0</v>
      </c>
      <c r="V31" s="99">
        <f>IF(A40="D",1,0)</f>
        <v>0</v>
      </c>
      <c r="W31" s="100">
        <f t="shared" si="1"/>
        <v>-1</v>
      </c>
      <c r="X31" s="100">
        <f t="shared" si="2"/>
        <v>1</v>
      </c>
      <c r="Y31" s="118">
        <f t="shared" si="3"/>
        <v>5</v>
      </c>
      <c r="Z31" s="118" t="str">
        <f t="shared" si="4"/>
        <v>S</v>
      </c>
      <c r="AA31" s="118">
        <f t="shared" si="5"/>
        <v>155</v>
      </c>
      <c r="AB31" s="118" t="str">
        <f t="shared" si="6"/>
        <v>R</v>
      </c>
      <c r="AC31" s="119">
        <f t="shared" si="7"/>
        <v>37920.51679158402</v>
      </c>
      <c r="AD31" s="120">
        <v>37171</v>
      </c>
      <c r="AE31" s="121">
        <f t="shared" si="8"/>
        <v>24.574321035541676</v>
      </c>
      <c r="AF31" s="103">
        <f t="shared" si="18"/>
        <v>600.0000000001535</v>
      </c>
    </row>
    <row r="32" spans="1:32" s="99" customFormat="1" ht="14.25">
      <c r="A32" s="85"/>
      <c r="B32" s="86" t="s">
        <v>37</v>
      </c>
      <c r="C32" s="87">
        <v>6</v>
      </c>
      <c r="D32" s="88">
        <v>0</v>
      </c>
      <c r="E32" s="127" t="s">
        <v>40</v>
      </c>
      <c r="F32" s="89">
        <v>155</v>
      </c>
      <c r="G32" s="88">
        <v>0</v>
      </c>
      <c r="H32" s="90" t="s">
        <v>36</v>
      </c>
      <c r="I32" s="104">
        <f t="shared" si="9"/>
      </c>
      <c r="J32" s="91">
        <f t="shared" si="19"/>
        <v>60.00000000001535</v>
      </c>
      <c r="K32" s="92">
        <v>10</v>
      </c>
      <c r="L32" s="93">
        <f>J32/K32</f>
        <v>6.000000000001535</v>
      </c>
      <c r="M32" s="94">
        <v>1.2</v>
      </c>
      <c r="N32" s="95">
        <f t="shared" si="20"/>
        <v>37921.26679158402</v>
      </c>
      <c r="O32" s="96">
        <f t="shared" si="11"/>
        <v>37921.316791584024</v>
      </c>
      <c r="P32" s="97">
        <f t="shared" si="12"/>
        <v>257.6029980149687</v>
      </c>
      <c r="Q32" s="98">
        <f t="shared" si="0"/>
        <v>10.733458250623697</v>
      </c>
      <c r="R32" s="99">
        <f t="shared" si="13"/>
        <v>0</v>
      </c>
      <c r="S32" s="99">
        <f t="shared" si="14"/>
        <v>0</v>
      </c>
      <c r="T32" s="99">
        <f t="shared" si="15"/>
        <v>0</v>
      </c>
      <c r="U32" s="99">
        <f t="shared" si="16"/>
        <v>0</v>
      </c>
      <c r="V32" s="99">
        <f>IF(A37="D",1,0)</f>
        <v>0</v>
      </c>
      <c r="W32" s="100">
        <f t="shared" si="1"/>
        <v>-1</v>
      </c>
      <c r="X32" s="100">
        <f t="shared" si="2"/>
        <v>1</v>
      </c>
      <c r="Y32" s="99">
        <f t="shared" si="3"/>
        <v>6</v>
      </c>
      <c r="Z32" s="99" t="str">
        <f t="shared" si="4"/>
        <v>S</v>
      </c>
      <c r="AA32" s="99">
        <f t="shared" si="5"/>
        <v>155</v>
      </c>
      <c r="AB32" s="99">
        <f t="shared" si="6"/>
        <v>0</v>
      </c>
      <c r="AC32" s="101">
        <f t="shared" si="7"/>
        <v>0</v>
      </c>
      <c r="AD32" s="120"/>
      <c r="AE32" s="102">
        <f t="shared" si="8"/>
        <v>0</v>
      </c>
      <c r="AF32" s="103">
        <f t="shared" si="18"/>
        <v>600.0000000001535</v>
      </c>
    </row>
    <row r="33" spans="1:32" s="99" customFormat="1" ht="14.25">
      <c r="A33" s="85"/>
      <c r="B33" s="86" t="s">
        <v>37</v>
      </c>
      <c r="C33" s="87">
        <v>7</v>
      </c>
      <c r="D33" s="88">
        <v>0</v>
      </c>
      <c r="E33" s="127" t="s">
        <v>40</v>
      </c>
      <c r="F33" s="89">
        <v>155</v>
      </c>
      <c r="G33" s="88">
        <v>0</v>
      </c>
      <c r="H33" s="90" t="s">
        <v>36</v>
      </c>
      <c r="I33" s="104">
        <f t="shared" si="9"/>
      </c>
      <c r="J33" s="91">
        <f t="shared" si="19"/>
        <v>60.00000000003748</v>
      </c>
      <c r="K33" s="92">
        <v>10</v>
      </c>
      <c r="L33" s="93">
        <f>J33/K33</f>
        <v>6.000000000003748</v>
      </c>
      <c r="M33" s="94">
        <v>1.2</v>
      </c>
      <c r="N33" s="95">
        <f t="shared" si="20"/>
        <v>37921.566791584024</v>
      </c>
      <c r="O33" s="96">
        <f t="shared" si="11"/>
        <v>37921.61679158403</v>
      </c>
      <c r="P33" s="97">
        <f t="shared" si="12"/>
        <v>264.80299801497245</v>
      </c>
      <c r="Q33" s="98">
        <f t="shared" si="0"/>
        <v>11.033458250623852</v>
      </c>
      <c r="R33" s="99">
        <f t="shared" si="13"/>
        <v>0</v>
      </c>
      <c r="S33" s="99">
        <f t="shared" si="14"/>
        <v>0</v>
      </c>
      <c r="T33" s="99">
        <f t="shared" si="15"/>
        <v>0</v>
      </c>
      <c r="U33" s="99">
        <f t="shared" si="16"/>
        <v>0</v>
      </c>
      <c r="V33" s="99">
        <f>IF(A38="D",1,0)</f>
        <v>0</v>
      </c>
      <c r="W33" s="100">
        <f t="shared" si="1"/>
        <v>-1</v>
      </c>
      <c r="X33" s="100">
        <f t="shared" si="2"/>
        <v>1</v>
      </c>
      <c r="Y33" s="99">
        <f t="shared" si="3"/>
        <v>7</v>
      </c>
      <c r="Z33" s="99" t="str">
        <f t="shared" si="4"/>
        <v>S</v>
      </c>
      <c r="AA33" s="99">
        <f t="shared" si="5"/>
        <v>155</v>
      </c>
      <c r="AB33" s="99">
        <f t="shared" si="6"/>
        <v>0</v>
      </c>
      <c r="AC33" s="101">
        <f t="shared" si="7"/>
        <v>0</v>
      </c>
      <c r="AD33" s="105"/>
      <c r="AE33" s="102">
        <f t="shared" si="8"/>
        <v>0</v>
      </c>
      <c r="AF33" s="103">
        <f t="shared" si="18"/>
        <v>600.0000000003748</v>
      </c>
    </row>
    <row r="34" spans="1:32" s="130" customFormat="1" ht="14.25">
      <c r="A34" s="125" t="s">
        <v>41</v>
      </c>
      <c r="B34" s="107" t="s">
        <v>63</v>
      </c>
      <c r="C34" s="108">
        <v>8</v>
      </c>
      <c r="D34" s="109">
        <v>0</v>
      </c>
      <c r="E34" s="108" t="s">
        <v>40</v>
      </c>
      <c r="F34" s="111">
        <v>155</v>
      </c>
      <c r="G34" s="109">
        <v>0</v>
      </c>
      <c r="H34" s="122" t="s">
        <v>36</v>
      </c>
      <c r="I34" s="112">
        <f t="shared" si="9"/>
        <v>24.553009560132033</v>
      </c>
      <c r="J34" s="113">
        <f t="shared" si="19"/>
        <v>60.00000000001535</v>
      </c>
      <c r="K34" s="92">
        <v>10</v>
      </c>
      <c r="L34" s="93">
        <f>J34/K34</f>
        <v>6.000000000001535</v>
      </c>
      <c r="M34" s="115">
        <v>2</v>
      </c>
      <c r="N34" s="116">
        <f t="shared" si="20"/>
        <v>37921.86679158403</v>
      </c>
      <c r="O34" s="117">
        <f t="shared" si="11"/>
        <v>37921.95012491736</v>
      </c>
      <c r="P34" s="136">
        <f t="shared" si="12"/>
        <v>272.802998014974</v>
      </c>
      <c r="Q34" s="136">
        <f t="shared" si="0"/>
        <v>11.36679158395725</v>
      </c>
      <c r="R34" s="123">
        <f t="shared" si="13"/>
        <v>0</v>
      </c>
      <c r="S34" s="99">
        <f t="shared" si="14"/>
        <v>1</v>
      </c>
      <c r="T34" s="99">
        <f t="shared" si="15"/>
        <v>0</v>
      </c>
      <c r="U34" s="99">
        <f t="shared" si="16"/>
        <v>0</v>
      </c>
      <c r="V34" s="99">
        <f>IF(A34="D",1,0)</f>
        <v>0</v>
      </c>
      <c r="W34" s="100">
        <f t="shared" si="1"/>
        <v>-1</v>
      </c>
      <c r="X34" s="128">
        <f t="shared" si="2"/>
        <v>1</v>
      </c>
      <c r="Y34" s="99">
        <f t="shared" si="3"/>
        <v>8</v>
      </c>
      <c r="Z34" s="99" t="str">
        <f t="shared" si="4"/>
        <v>S</v>
      </c>
      <c r="AA34" s="99">
        <f t="shared" si="5"/>
        <v>155</v>
      </c>
      <c r="AB34" s="99" t="str">
        <f t="shared" si="6"/>
        <v>V</v>
      </c>
      <c r="AC34" s="101">
        <f t="shared" si="7"/>
        <v>37921.86679158403</v>
      </c>
      <c r="AD34" s="120">
        <v>37173</v>
      </c>
      <c r="AE34" s="129">
        <f t="shared" si="8"/>
        <v>24.553009560132033</v>
      </c>
      <c r="AF34" s="103">
        <f t="shared" si="18"/>
        <v>600.0000000001535</v>
      </c>
    </row>
    <row r="35" ht="5.25" customHeight="1"/>
    <row r="36" spans="1:32" s="118" customFormat="1" ht="14.25">
      <c r="A36" s="125" t="s">
        <v>38</v>
      </c>
      <c r="B36" s="107" t="s">
        <v>64</v>
      </c>
      <c r="C36" s="108">
        <v>8</v>
      </c>
      <c r="D36" s="109">
        <v>0</v>
      </c>
      <c r="E36" s="108" t="s">
        <v>40</v>
      </c>
      <c r="F36" s="111">
        <v>170</v>
      </c>
      <c r="G36" s="109">
        <v>0</v>
      </c>
      <c r="H36" s="122" t="s">
        <v>36</v>
      </c>
      <c r="I36" s="112">
        <f>IF(R36=1,AE36,IF(S36=1,AE36,IF(T36=1,AE36,IF(U36=1,AE36,IF(V36=1,AE36,"")))))</f>
        <v>24.546341750133386</v>
      </c>
      <c r="J36" s="113">
        <f>180/PI()*60*ACOS((SIN(PI()/180*W34*(C34+D35/60))*SIN(PI()/180*W36*(C36+D36/60)))+(COS(PI()/180*W34*(C34+D34/60))*COS(PI()/180*W36*(C36+D36/60))*COS(PI()/180*(X36*(F36+G36/60)-X34*(F34+G34/60)))))</f>
        <v>891.1916308095829</v>
      </c>
      <c r="K36" s="133">
        <v>10</v>
      </c>
      <c r="L36" s="93">
        <f aca="true" t="shared" si="21" ref="L36:L61">J36/K36</f>
        <v>89.11916308095829</v>
      </c>
      <c r="M36" s="115">
        <v>12</v>
      </c>
      <c r="N36" s="116">
        <f>O34+L36/24</f>
        <v>37925.66342337907</v>
      </c>
      <c r="O36" s="117">
        <f>N36+M36/24</f>
        <v>37926.16342337907</v>
      </c>
      <c r="P36" s="136">
        <f>P34+L36+M36</f>
        <v>373.92216109593227</v>
      </c>
      <c r="Q36" s="136">
        <f t="shared" si="0"/>
        <v>15.580090045663844</v>
      </c>
      <c r="R36" s="118">
        <f aca="true" t="shared" si="22" ref="R36:R61">IF(A36="R",1,0)</f>
        <v>1</v>
      </c>
      <c r="S36" s="118">
        <f aca="true" t="shared" si="23" ref="S36:S61">IF(A36="V",1,0)</f>
        <v>0</v>
      </c>
      <c r="T36" s="118">
        <f aca="true" t="shared" si="24" ref="T36:T61">IF(A36="R E",1,0)</f>
        <v>0</v>
      </c>
      <c r="U36" s="118">
        <f aca="true" t="shared" si="25" ref="U36:U61">IF(A36="S",1,0)</f>
        <v>0</v>
      </c>
      <c r="V36" s="118">
        <f>IF(A40="D",1,0)</f>
        <v>0</v>
      </c>
      <c r="W36" s="135">
        <f aca="true" t="shared" si="26" ref="W36:W61">IF(E36="N",1,-1)</f>
        <v>-1</v>
      </c>
      <c r="X36" s="135">
        <f aca="true" t="shared" si="27" ref="X36:X61">IF(H36="W",1,-1)</f>
        <v>1</v>
      </c>
      <c r="Y36" s="118">
        <f aca="true" t="shared" si="28" ref="Y36:Y61">C36</f>
        <v>8</v>
      </c>
      <c r="Z36" s="118" t="str">
        <f aca="true" t="shared" si="29" ref="Z36:Z61">E36</f>
        <v>S</v>
      </c>
      <c r="AA36" s="118">
        <f aca="true" t="shared" si="30" ref="AA36:AA61">F36</f>
        <v>170</v>
      </c>
      <c r="AB36" s="118" t="str">
        <f aca="true" t="shared" si="31" ref="AB36:AB61">IF(R36=1,"R",IF(S36=1,"V",0))</f>
        <v>R</v>
      </c>
      <c r="AC36" s="119">
        <f aca="true" t="shared" si="32" ref="AC36:AC61">IF(R36=1,N36,IF(S36=1,N36,IF(T36=1,N36,IF(U36=1,N36,IF(V36=1,N36,0)))))</f>
        <v>37925.66342337907</v>
      </c>
      <c r="AD36" s="131">
        <v>37177</v>
      </c>
      <c r="AE36" s="54">
        <f aca="true" t="shared" si="33" ref="AE36:AE41">(AC36-AD36)/30.5</f>
        <v>24.546341750133386</v>
      </c>
      <c r="AF36" s="23">
        <f t="shared" si="18"/>
        <v>8911.916308095828</v>
      </c>
    </row>
    <row r="37" spans="1:32" s="99" customFormat="1" ht="14.25">
      <c r="A37" s="85"/>
      <c r="B37" s="86" t="s">
        <v>37</v>
      </c>
      <c r="C37" s="87">
        <v>7</v>
      </c>
      <c r="D37" s="88">
        <v>0</v>
      </c>
      <c r="E37" s="127" t="s">
        <v>40</v>
      </c>
      <c r="F37" s="89">
        <v>170</v>
      </c>
      <c r="G37" s="88">
        <v>0</v>
      </c>
      <c r="H37" s="90" t="s">
        <v>36</v>
      </c>
      <c r="I37" s="104">
        <f aca="true" t="shared" si="34" ref="I37:I52">IF(R37=1,AE37,IF(S37=1,AE37,IF(T37=1,AE37,IF(U37=1,AE37,IF(V37=1,AE37,"")))))</f>
      </c>
      <c r="J37" s="91">
        <f aca="true" t="shared" si="35" ref="J37:J61">180/PI()*60*ACOS((SIN(PI()/180*W36*(C36+D36/60))*SIN(PI()/180*W37*(C37+D37/60)))+(COS(PI()/180*W36*(C36+D36/60))*COS(PI()/180*W37*(C37+D37/60))*COS(PI()/180*(X37*(F37+G37/60)-X36*(F36+G36/60)))))</f>
        <v>60.00000000001535</v>
      </c>
      <c r="K37" s="133">
        <v>10</v>
      </c>
      <c r="L37" s="93">
        <f t="shared" si="21"/>
        <v>6.000000000001535</v>
      </c>
      <c r="M37" s="94">
        <v>1.2</v>
      </c>
      <c r="N37" s="95">
        <f>O36+L37/24</f>
        <v>37926.41342337907</v>
      </c>
      <c r="O37" s="96">
        <f aca="true" t="shared" si="36" ref="O37:O60">N37+M37/24</f>
        <v>37926.46342337907</v>
      </c>
      <c r="P37" s="97">
        <f aca="true" t="shared" si="37" ref="P37:P61">P36+L37+M37</f>
        <v>381.1221610959338</v>
      </c>
      <c r="Q37" s="98">
        <f aca="true" t="shared" si="38" ref="Q37:Q61">P37/24</f>
        <v>15.880090045663907</v>
      </c>
      <c r="R37" s="99">
        <f t="shared" si="22"/>
        <v>0</v>
      </c>
      <c r="S37" s="99">
        <f t="shared" si="23"/>
        <v>0</v>
      </c>
      <c r="T37" s="99">
        <f t="shared" si="24"/>
        <v>0</v>
      </c>
      <c r="U37" s="99">
        <f t="shared" si="25"/>
        <v>0</v>
      </c>
      <c r="V37" s="99">
        <f>IF(A41="D",1,0)</f>
        <v>0</v>
      </c>
      <c r="W37" s="100">
        <f t="shared" si="26"/>
        <v>-1</v>
      </c>
      <c r="X37" s="100">
        <f t="shared" si="27"/>
        <v>1</v>
      </c>
      <c r="Y37" s="99">
        <f t="shared" si="28"/>
        <v>7</v>
      </c>
      <c r="Z37" s="99" t="str">
        <f t="shared" si="29"/>
        <v>S</v>
      </c>
      <c r="AA37" s="99">
        <f t="shared" si="30"/>
        <v>170</v>
      </c>
      <c r="AB37" s="99">
        <f t="shared" si="31"/>
        <v>0</v>
      </c>
      <c r="AC37" s="101">
        <f t="shared" si="32"/>
        <v>0</v>
      </c>
      <c r="AD37" s="120"/>
      <c r="AE37" s="102">
        <f t="shared" si="33"/>
        <v>0</v>
      </c>
      <c r="AF37" s="103">
        <f t="shared" si="18"/>
        <v>600.0000000001535</v>
      </c>
    </row>
    <row r="38" spans="1:32" s="99" customFormat="1" ht="14.25">
      <c r="A38" s="85"/>
      <c r="B38" s="86" t="s">
        <v>37</v>
      </c>
      <c r="C38" s="87">
        <v>6</v>
      </c>
      <c r="D38" s="88">
        <v>0</v>
      </c>
      <c r="E38" s="127" t="s">
        <v>40</v>
      </c>
      <c r="F38" s="89">
        <v>170</v>
      </c>
      <c r="G38" s="88">
        <v>0</v>
      </c>
      <c r="H38" s="90" t="s">
        <v>36</v>
      </c>
      <c r="I38" s="104">
        <f t="shared" si="34"/>
      </c>
      <c r="J38" s="91">
        <f t="shared" si="35"/>
        <v>60.00000000003748</v>
      </c>
      <c r="K38" s="133">
        <v>10</v>
      </c>
      <c r="L38" s="93">
        <f t="shared" si="21"/>
        <v>6.000000000003748</v>
      </c>
      <c r="M38" s="94">
        <v>1.2</v>
      </c>
      <c r="N38" s="95">
        <f aca="true" t="shared" si="39" ref="N38:N58">O37+L38/24</f>
        <v>37926.71342337907</v>
      </c>
      <c r="O38" s="96">
        <f t="shared" si="36"/>
        <v>37926.763423379074</v>
      </c>
      <c r="P38" s="97">
        <f t="shared" si="37"/>
        <v>388.32216109593753</v>
      </c>
      <c r="Q38" s="98">
        <f t="shared" si="38"/>
        <v>16.180090045664063</v>
      </c>
      <c r="R38" s="99">
        <f t="shared" si="22"/>
        <v>0</v>
      </c>
      <c r="S38" s="99">
        <f t="shared" si="23"/>
        <v>0</v>
      </c>
      <c r="T38" s="99">
        <f t="shared" si="24"/>
        <v>0</v>
      </c>
      <c r="U38" s="99">
        <f t="shared" si="25"/>
        <v>0</v>
      </c>
      <c r="V38" s="99">
        <f>IF(A43="D",1,0)</f>
        <v>0</v>
      </c>
      <c r="W38" s="100">
        <f t="shared" si="26"/>
        <v>-1</v>
      </c>
      <c r="X38" s="100">
        <f t="shared" si="27"/>
        <v>1</v>
      </c>
      <c r="Y38" s="99">
        <f t="shared" si="28"/>
        <v>6</v>
      </c>
      <c r="Z38" s="99" t="str">
        <f t="shared" si="29"/>
        <v>S</v>
      </c>
      <c r="AA38" s="99">
        <f t="shared" si="30"/>
        <v>170</v>
      </c>
      <c r="AB38" s="99">
        <f t="shared" si="31"/>
        <v>0</v>
      </c>
      <c r="AC38" s="101">
        <f t="shared" si="32"/>
        <v>0</v>
      </c>
      <c r="AD38" s="120"/>
      <c r="AE38" s="102">
        <f t="shared" si="33"/>
        <v>0</v>
      </c>
      <c r="AF38" s="103">
        <f t="shared" si="18"/>
        <v>600.0000000003748</v>
      </c>
    </row>
    <row r="39" spans="1:32" s="99" customFormat="1" ht="14.25">
      <c r="A39" s="125" t="s">
        <v>41</v>
      </c>
      <c r="B39" s="107" t="s">
        <v>63</v>
      </c>
      <c r="C39" s="108">
        <v>5</v>
      </c>
      <c r="D39" s="109">
        <v>0</v>
      </c>
      <c r="E39" s="110" t="s">
        <v>40</v>
      </c>
      <c r="F39" s="111">
        <v>170</v>
      </c>
      <c r="G39" s="109">
        <v>0</v>
      </c>
      <c r="H39" s="122" t="s">
        <v>36</v>
      </c>
      <c r="I39" s="112">
        <f t="shared" si="34"/>
        <v>28.49224338947784</v>
      </c>
      <c r="J39" s="113">
        <f t="shared" si="35"/>
        <v>60.00000000001535</v>
      </c>
      <c r="K39" s="133">
        <v>10</v>
      </c>
      <c r="L39" s="114">
        <f t="shared" si="21"/>
        <v>6.000000000001535</v>
      </c>
      <c r="M39" s="115">
        <v>2</v>
      </c>
      <c r="N39" s="116">
        <f t="shared" si="39"/>
        <v>37927.013423379074</v>
      </c>
      <c r="O39" s="117">
        <f t="shared" si="36"/>
        <v>37927.09675671241</v>
      </c>
      <c r="P39" s="97">
        <f t="shared" si="37"/>
        <v>396.32216109593907</v>
      </c>
      <c r="Q39" s="98">
        <f t="shared" si="38"/>
        <v>16.513423378997462</v>
      </c>
      <c r="R39" s="99">
        <f t="shared" si="22"/>
        <v>0</v>
      </c>
      <c r="S39" s="123">
        <f t="shared" si="23"/>
        <v>1</v>
      </c>
      <c r="T39" s="99">
        <f t="shared" si="24"/>
        <v>0</v>
      </c>
      <c r="U39" s="99">
        <f t="shared" si="25"/>
        <v>0</v>
      </c>
      <c r="V39" s="99">
        <f>IF(A43="D",1,0)</f>
        <v>0</v>
      </c>
      <c r="W39" s="100">
        <f t="shared" si="26"/>
        <v>-1</v>
      </c>
      <c r="X39" s="100">
        <f t="shared" si="27"/>
        <v>1</v>
      </c>
      <c r="Y39" s="118">
        <f t="shared" si="28"/>
        <v>5</v>
      </c>
      <c r="Z39" s="118" t="str">
        <f t="shared" si="29"/>
        <v>S</v>
      </c>
      <c r="AA39" s="118">
        <f t="shared" si="30"/>
        <v>170</v>
      </c>
      <c r="AB39" s="118" t="str">
        <f t="shared" si="31"/>
        <v>V</v>
      </c>
      <c r="AC39" s="119">
        <f t="shared" si="32"/>
        <v>37927.013423379074</v>
      </c>
      <c r="AD39" s="120">
        <v>37058</v>
      </c>
      <c r="AE39" s="121">
        <f t="shared" si="33"/>
        <v>28.49224338947784</v>
      </c>
      <c r="AF39" s="103">
        <f aca="true" t="shared" si="40" ref="AF39:AF61">J39*K39</f>
        <v>600.0000000001535</v>
      </c>
    </row>
    <row r="40" spans="1:32" s="99" customFormat="1" ht="14.25">
      <c r="A40" s="85"/>
      <c r="B40" s="86" t="s">
        <v>37</v>
      </c>
      <c r="C40" s="87">
        <v>4</v>
      </c>
      <c r="D40" s="88">
        <v>0</v>
      </c>
      <c r="E40" s="127" t="s">
        <v>40</v>
      </c>
      <c r="F40" s="89">
        <v>170</v>
      </c>
      <c r="G40" s="88">
        <v>0</v>
      </c>
      <c r="H40" s="90" t="s">
        <v>36</v>
      </c>
      <c r="I40" s="104">
        <f t="shared" si="34"/>
      </c>
      <c r="J40" s="91">
        <f t="shared" si="35"/>
        <v>60.00000000001535</v>
      </c>
      <c r="K40" s="133">
        <v>10</v>
      </c>
      <c r="L40" s="93">
        <f t="shared" si="21"/>
        <v>6.000000000001535</v>
      </c>
      <c r="M40" s="94">
        <v>1.2</v>
      </c>
      <c r="N40" s="95">
        <f>O39+L40/24</f>
        <v>37927.34675671241</v>
      </c>
      <c r="O40" s="96">
        <f t="shared" si="36"/>
        <v>37927.39675671241</v>
      </c>
      <c r="P40" s="97">
        <f t="shared" si="37"/>
        <v>403.5221610959406</v>
      </c>
      <c r="Q40" s="98">
        <f t="shared" si="38"/>
        <v>16.813423378997523</v>
      </c>
      <c r="R40" s="99">
        <f t="shared" si="22"/>
        <v>0</v>
      </c>
      <c r="S40" s="99">
        <f t="shared" si="23"/>
        <v>0</v>
      </c>
      <c r="T40" s="99">
        <f t="shared" si="24"/>
        <v>0</v>
      </c>
      <c r="U40" s="99">
        <f t="shared" si="25"/>
        <v>0</v>
      </c>
      <c r="V40" s="99">
        <f>IF(A45="D",1,0)</f>
        <v>0</v>
      </c>
      <c r="W40" s="100">
        <f t="shared" si="26"/>
        <v>-1</v>
      </c>
      <c r="X40" s="100">
        <f t="shared" si="27"/>
        <v>1</v>
      </c>
      <c r="Y40" s="99">
        <f t="shared" si="28"/>
        <v>4</v>
      </c>
      <c r="Z40" s="99" t="str">
        <f t="shared" si="29"/>
        <v>S</v>
      </c>
      <c r="AA40" s="99">
        <f t="shared" si="30"/>
        <v>170</v>
      </c>
      <c r="AB40" s="99">
        <f t="shared" si="31"/>
        <v>0</v>
      </c>
      <c r="AC40" s="101">
        <f t="shared" si="32"/>
        <v>0</v>
      </c>
      <c r="AD40" s="105"/>
      <c r="AE40" s="102">
        <f t="shared" si="33"/>
        <v>0</v>
      </c>
      <c r="AF40" s="103">
        <f t="shared" si="40"/>
        <v>600.0000000001535</v>
      </c>
    </row>
    <row r="41" spans="1:32" s="99" customFormat="1" ht="14.25">
      <c r="A41" s="85"/>
      <c r="B41" s="86" t="s">
        <v>37</v>
      </c>
      <c r="C41" s="87">
        <v>3</v>
      </c>
      <c r="D41" s="88">
        <v>0</v>
      </c>
      <c r="E41" s="127" t="s">
        <v>40</v>
      </c>
      <c r="F41" s="89">
        <v>170</v>
      </c>
      <c r="G41" s="88">
        <v>0</v>
      </c>
      <c r="H41" s="90" t="s">
        <v>36</v>
      </c>
      <c r="I41" s="104">
        <f t="shared" si="34"/>
      </c>
      <c r="J41" s="91">
        <f t="shared" si="35"/>
        <v>60.00000000001535</v>
      </c>
      <c r="K41" s="133">
        <v>10</v>
      </c>
      <c r="L41" s="93">
        <f t="shared" si="21"/>
        <v>6.000000000001535</v>
      </c>
      <c r="M41" s="94">
        <v>1.2</v>
      </c>
      <c r="N41" s="95">
        <f t="shared" si="39"/>
        <v>37927.64675671241</v>
      </c>
      <c r="O41" s="96">
        <f t="shared" si="36"/>
        <v>37927.696756712416</v>
      </c>
      <c r="P41" s="97">
        <f t="shared" si="37"/>
        <v>410.7221610959421</v>
      </c>
      <c r="Q41" s="98">
        <f t="shared" si="38"/>
        <v>17.113423378997588</v>
      </c>
      <c r="R41" s="99">
        <f t="shared" si="22"/>
        <v>0</v>
      </c>
      <c r="S41" s="99">
        <f t="shared" si="23"/>
        <v>0</v>
      </c>
      <c r="T41" s="99">
        <f t="shared" si="24"/>
        <v>0</v>
      </c>
      <c r="U41" s="99">
        <f t="shared" si="25"/>
        <v>0</v>
      </c>
      <c r="V41" s="99">
        <f>IF(A47="D",1,0)</f>
        <v>0</v>
      </c>
      <c r="W41" s="100">
        <f t="shared" si="26"/>
        <v>-1</v>
      </c>
      <c r="X41" s="100">
        <f t="shared" si="27"/>
        <v>1</v>
      </c>
      <c r="Y41" s="99">
        <f t="shared" si="28"/>
        <v>3</v>
      </c>
      <c r="Z41" s="99" t="str">
        <f t="shared" si="29"/>
        <v>S</v>
      </c>
      <c r="AA41" s="99">
        <f t="shared" si="30"/>
        <v>170</v>
      </c>
      <c r="AB41" s="99">
        <f t="shared" si="31"/>
        <v>0</v>
      </c>
      <c r="AC41" s="101">
        <f t="shared" si="32"/>
        <v>0</v>
      </c>
      <c r="AD41" s="105"/>
      <c r="AE41" s="102">
        <f t="shared" si="33"/>
        <v>0</v>
      </c>
      <c r="AF41" s="103">
        <f t="shared" si="40"/>
        <v>600.0000000001535</v>
      </c>
    </row>
    <row r="42" spans="1:32" s="99" customFormat="1" ht="14.25">
      <c r="A42" s="85"/>
      <c r="B42" s="86" t="s">
        <v>37</v>
      </c>
      <c r="C42" s="87">
        <v>2</v>
      </c>
      <c r="D42" s="88">
        <v>30</v>
      </c>
      <c r="E42" s="127" t="s">
        <v>40</v>
      </c>
      <c r="F42" s="89">
        <v>170</v>
      </c>
      <c r="G42" s="88">
        <v>0</v>
      </c>
      <c r="H42" s="90" t="s">
        <v>36</v>
      </c>
      <c r="I42" s="104">
        <f t="shared" si="34"/>
      </c>
      <c r="J42" s="91">
        <f t="shared" si="35"/>
        <v>29.99999999999126</v>
      </c>
      <c r="K42" s="133">
        <v>10</v>
      </c>
      <c r="L42" s="93">
        <f t="shared" si="21"/>
        <v>2.999999999999126</v>
      </c>
      <c r="M42" s="94">
        <v>1.2</v>
      </c>
      <c r="N42" s="95">
        <f t="shared" si="39"/>
        <v>37927.821756712416</v>
      </c>
      <c r="O42" s="96">
        <f t="shared" si="36"/>
        <v>37927.87175671242</v>
      </c>
      <c r="P42" s="97">
        <f t="shared" si="37"/>
        <v>414.92216109594125</v>
      </c>
      <c r="Q42" s="98">
        <f t="shared" si="38"/>
        <v>17.288423378997553</v>
      </c>
      <c r="R42" s="99">
        <f t="shared" si="22"/>
        <v>0</v>
      </c>
      <c r="S42" s="99">
        <f t="shared" si="23"/>
        <v>0</v>
      </c>
      <c r="T42" s="99">
        <f t="shared" si="24"/>
        <v>0</v>
      </c>
      <c r="U42" s="99">
        <f t="shared" si="25"/>
        <v>0</v>
      </c>
      <c r="V42" s="99">
        <f>IF(A49="D",1,0)</f>
        <v>0</v>
      </c>
      <c r="W42" s="100">
        <f t="shared" si="26"/>
        <v>-1</v>
      </c>
      <c r="X42" s="100">
        <f t="shared" si="27"/>
        <v>1</v>
      </c>
      <c r="Y42" s="99">
        <f t="shared" si="28"/>
        <v>2</v>
      </c>
      <c r="Z42" s="99" t="str">
        <f t="shared" si="29"/>
        <v>S</v>
      </c>
      <c r="AA42" s="99">
        <f t="shared" si="30"/>
        <v>170</v>
      </c>
      <c r="AB42" s="99">
        <f t="shared" si="31"/>
        <v>0</v>
      </c>
      <c r="AC42" s="101">
        <f t="shared" si="32"/>
        <v>0</v>
      </c>
      <c r="AD42" s="105"/>
      <c r="AE42" s="102"/>
      <c r="AF42" s="103">
        <f t="shared" si="40"/>
        <v>299.9999999999126</v>
      </c>
    </row>
    <row r="43" spans="1:32" s="99" customFormat="1" ht="14.25">
      <c r="A43" s="125" t="s">
        <v>41</v>
      </c>
      <c r="B43" s="107" t="s">
        <v>69</v>
      </c>
      <c r="C43" s="108">
        <v>2</v>
      </c>
      <c r="D43" s="109">
        <v>0</v>
      </c>
      <c r="E43" s="110" t="s">
        <v>40</v>
      </c>
      <c r="F43" s="111">
        <v>170</v>
      </c>
      <c r="G43" s="109">
        <v>0</v>
      </c>
      <c r="H43" s="122" t="s">
        <v>36</v>
      </c>
      <c r="I43" s="112">
        <f t="shared" si="34"/>
        <v>24.557270711882577</v>
      </c>
      <c r="J43" s="113">
        <f t="shared" si="35"/>
        <v>29.99999999994775</v>
      </c>
      <c r="K43" s="133">
        <v>10</v>
      </c>
      <c r="L43" s="114">
        <f t="shared" si="21"/>
        <v>2.999999999994775</v>
      </c>
      <c r="M43" s="115">
        <v>12</v>
      </c>
      <c r="N43" s="116">
        <f t="shared" si="39"/>
        <v>37927.99675671242</v>
      </c>
      <c r="O43" s="117">
        <f t="shared" si="36"/>
        <v>37928.49675671242</v>
      </c>
      <c r="P43" s="97">
        <f t="shared" si="37"/>
        <v>429.922161095936</v>
      </c>
      <c r="Q43" s="98">
        <f t="shared" si="38"/>
        <v>17.913423378997333</v>
      </c>
      <c r="R43" s="123">
        <f t="shared" si="22"/>
        <v>0</v>
      </c>
      <c r="S43" s="99">
        <f t="shared" si="23"/>
        <v>1</v>
      </c>
      <c r="T43" s="99">
        <f t="shared" si="24"/>
        <v>0</v>
      </c>
      <c r="U43" s="99">
        <f t="shared" si="25"/>
        <v>0</v>
      </c>
      <c r="V43" s="99">
        <f>IF(A47="D",1,0)</f>
        <v>0</v>
      </c>
      <c r="W43" s="100">
        <f t="shared" si="26"/>
        <v>-1</v>
      </c>
      <c r="X43" s="100">
        <f t="shared" si="27"/>
        <v>1</v>
      </c>
      <c r="Y43" s="118">
        <f t="shared" si="28"/>
        <v>2</v>
      </c>
      <c r="Z43" s="118" t="str">
        <f t="shared" si="29"/>
        <v>S</v>
      </c>
      <c r="AA43" s="118">
        <f t="shared" si="30"/>
        <v>170</v>
      </c>
      <c r="AB43" s="118" t="str">
        <f t="shared" si="31"/>
        <v>V</v>
      </c>
      <c r="AC43" s="119">
        <f t="shared" si="32"/>
        <v>37927.99675671242</v>
      </c>
      <c r="AD43" s="120">
        <v>37179</v>
      </c>
      <c r="AE43" s="121">
        <f>(AC43-AD43)/30.5</f>
        <v>24.557270711882577</v>
      </c>
      <c r="AF43" s="103">
        <f t="shared" si="40"/>
        <v>299.9999999994775</v>
      </c>
    </row>
    <row r="44" spans="1:32" s="99" customFormat="1" ht="14.25">
      <c r="A44" s="85"/>
      <c r="B44" s="86" t="s">
        <v>37</v>
      </c>
      <c r="C44" s="87">
        <v>1</v>
      </c>
      <c r="D44" s="88">
        <v>30</v>
      </c>
      <c r="E44" s="127"/>
      <c r="F44" s="89">
        <v>170</v>
      </c>
      <c r="G44" s="88">
        <v>0</v>
      </c>
      <c r="H44" s="90" t="s">
        <v>36</v>
      </c>
      <c r="I44" s="104">
        <f t="shared" si="34"/>
      </c>
      <c r="J44" s="91">
        <f t="shared" si="35"/>
        <v>29.99999999999126</v>
      </c>
      <c r="K44" s="133">
        <v>10</v>
      </c>
      <c r="L44" s="93">
        <f t="shared" si="21"/>
        <v>2.999999999999126</v>
      </c>
      <c r="M44" s="94">
        <v>1.2</v>
      </c>
      <c r="N44" s="95">
        <f t="shared" si="39"/>
        <v>37928.62175671242</v>
      </c>
      <c r="O44" s="96">
        <f t="shared" si="36"/>
        <v>37928.67175671242</v>
      </c>
      <c r="P44" s="97">
        <f t="shared" si="37"/>
        <v>434.12216109593516</v>
      </c>
      <c r="Q44" s="98">
        <f t="shared" si="38"/>
        <v>18.088423378997298</v>
      </c>
      <c r="R44" s="99">
        <f t="shared" si="22"/>
        <v>0</v>
      </c>
      <c r="S44" s="99">
        <f t="shared" si="23"/>
        <v>0</v>
      </c>
      <c r="T44" s="99">
        <f t="shared" si="24"/>
        <v>0</v>
      </c>
      <c r="U44" s="99">
        <f t="shared" si="25"/>
        <v>0</v>
      </c>
      <c r="V44" s="99">
        <f>IF(A51="D",1,0)</f>
        <v>0</v>
      </c>
      <c r="W44" s="100">
        <f t="shared" si="26"/>
        <v>-1</v>
      </c>
      <c r="X44" s="100">
        <f t="shared" si="27"/>
        <v>1</v>
      </c>
      <c r="Y44" s="99">
        <f t="shared" si="28"/>
        <v>1</v>
      </c>
      <c r="Z44" s="99">
        <f t="shared" si="29"/>
        <v>0</v>
      </c>
      <c r="AA44" s="99">
        <f t="shared" si="30"/>
        <v>170</v>
      </c>
      <c r="AB44" s="99">
        <f t="shared" si="31"/>
        <v>0</v>
      </c>
      <c r="AC44" s="101">
        <f t="shared" si="32"/>
        <v>0</v>
      </c>
      <c r="AD44" s="105"/>
      <c r="AE44" s="102">
        <f>(AC44-AD44)/30.5</f>
        <v>0</v>
      </c>
      <c r="AF44" s="103">
        <f t="shared" si="40"/>
        <v>299.9999999999126</v>
      </c>
    </row>
    <row r="45" spans="1:32" s="99" customFormat="1" ht="14.25">
      <c r="A45" s="85"/>
      <c r="B45" s="86" t="s">
        <v>37</v>
      </c>
      <c r="C45" s="87">
        <v>1</v>
      </c>
      <c r="D45" s="88">
        <v>0</v>
      </c>
      <c r="E45" s="127" t="s">
        <v>40</v>
      </c>
      <c r="F45" s="89">
        <v>170</v>
      </c>
      <c r="G45" s="88">
        <v>0</v>
      </c>
      <c r="H45" s="90" t="s">
        <v>36</v>
      </c>
      <c r="I45" s="104">
        <f t="shared" si="34"/>
      </c>
      <c r="J45" s="91">
        <f t="shared" si="35"/>
        <v>29.99999999999126</v>
      </c>
      <c r="K45" s="133">
        <v>10</v>
      </c>
      <c r="L45" s="93">
        <f t="shared" si="21"/>
        <v>2.999999999999126</v>
      </c>
      <c r="M45" s="94">
        <v>1.2</v>
      </c>
      <c r="N45" s="95">
        <f t="shared" si="39"/>
        <v>37928.79675671242</v>
      </c>
      <c r="O45" s="96">
        <f t="shared" si="36"/>
        <v>37928.846756712424</v>
      </c>
      <c r="P45" s="97">
        <f t="shared" si="37"/>
        <v>438.3221610959343</v>
      </c>
      <c r="Q45" s="98">
        <f t="shared" si="38"/>
        <v>18.263423378997263</v>
      </c>
      <c r="R45" s="99">
        <f t="shared" si="22"/>
        <v>0</v>
      </c>
      <c r="S45" s="99">
        <f t="shared" si="23"/>
        <v>0</v>
      </c>
      <c r="T45" s="99">
        <f t="shared" si="24"/>
        <v>0</v>
      </c>
      <c r="U45" s="99">
        <f t="shared" si="25"/>
        <v>0</v>
      </c>
      <c r="V45" s="99">
        <f>IF(A52="D",1,0)</f>
        <v>0</v>
      </c>
      <c r="W45" s="100">
        <f t="shared" si="26"/>
        <v>-1</v>
      </c>
      <c r="X45" s="100">
        <f t="shared" si="27"/>
        <v>1</v>
      </c>
      <c r="Y45" s="99">
        <f t="shared" si="28"/>
        <v>1</v>
      </c>
      <c r="Z45" s="99" t="str">
        <f t="shared" si="29"/>
        <v>S</v>
      </c>
      <c r="AA45" s="99">
        <f t="shared" si="30"/>
        <v>170</v>
      </c>
      <c r="AB45" s="99">
        <f t="shared" si="31"/>
        <v>0</v>
      </c>
      <c r="AC45" s="101">
        <f t="shared" si="32"/>
        <v>0</v>
      </c>
      <c r="AD45" s="105"/>
      <c r="AE45" s="102">
        <f>(AC45-AD45)/30.5</f>
        <v>0</v>
      </c>
      <c r="AF45" s="103">
        <f t="shared" si="40"/>
        <v>299.9999999999126</v>
      </c>
    </row>
    <row r="46" spans="1:32" s="99" customFormat="1" ht="14.25">
      <c r="A46" s="85"/>
      <c r="B46" s="86" t="s">
        <v>37</v>
      </c>
      <c r="C46" s="87">
        <v>0</v>
      </c>
      <c r="D46" s="88">
        <v>30</v>
      </c>
      <c r="E46" s="127" t="s">
        <v>40</v>
      </c>
      <c r="F46" s="89">
        <v>170</v>
      </c>
      <c r="G46" s="88">
        <v>0</v>
      </c>
      <c r="H46" s="90" t="s">
        <v>36</v>
      </c>
      <c r="I46" s="104">
        <f t="shared" si="34"/>
      </c>
      <c r="J46" s="91">
        <f t="shared" si="35"/>
        <v>29.99999999999126</v>
      </c>
      <c r="K46" s="133">
        <v>10</v>
      </c>
      <c r="L46" s="93">
        <f t="shared" si="21"/>
        <v>2.999999999999126</v>
      </c>
      <c r="M46" s="94">
        <v>1.2</v>
      </c>
      <c r="N46" s="95">
        <f t="shared" si="39"/>
        <v>37928.971756712424</v>
      </c>
      <c r="O46" s="96">
        <f t="shared" si="36"/>
        <v>37929.02175671243</v>
      </c>
      <c r="P46" s="97">
        <f t="shared" si="37"/>
        <v>442.5221610959334</v>
      </c>
      <c r="Q46" s="98">
        <f t="shared" si="38"/>
        <v>18.438423378997225</v>
      </c>
      <c r="R46" s="99">
        <f t="shared" si="22"/>
        <v>0</v>
      </c>
      <c r="S46" s="99">
        <f t="shared" si="23"/>
        <v>0</v>
      </c>
      <c r="T46" s="99">
        <f t="shared" si="24"/>
        <v>0</v>
      </c>
      <c r="U46" s="99">
        <f t="shared" si="25"/>
        <v>0</v>
      </c>
      <c r="V46" s="99">
        <f>IF(A55="D",1,0)</f>
        <v>0</v>
      </c>
      <c r="W46" s="100">
        <f t="shared" si="26"/>
        <v>-1</v>
      </c>
      <c r="X46" s="100">
        <f t="shared" si="27"/>
        <v>1</v>
      </c>
      <c r="Y46" s="99">
        <f t="shared" si="28"/>
        <v>0</v>
      </c>
      <c r="Z46" s="99" t="str">
        <f t="shared" si="29"/>
        <v>S</v>
      </c>
      <c r="AA46" s="99">
        <f t="shared" si="30"/>
        <v>170</v>
      </c>
      <c r="AB46" s="99">
        <f t="shared" si="31"/>
        <v>0</v>
      </c>
      <c r="AC46" s="101">
        <f t="shared" si="32"/>
        <v>0</v>
      </c>
      <c r="AD46" s="105"/>
      <c r="AE46" s="102"/>
      <c r="AF46" s="103">
        <f t="shared" si="40"/>
        <v>299.9999999999126</v>
      </c>
    </row>
    <row r="47" spans="1:32" s="99" customFormat="1" ht="14.25">
      <c r="A47" s="125" t="s">
        <v>61</v>
      </c>
      <c r="B47" s="107" t="s">
        <v>71</v>
      </c>
      <c r="C47" s="108">
        <v>0</v>
      </c>
      <c r="D47" s="109">
        <v>0</v>
      </c>
      <c r="E47" s="108"/>
      <c r="F47" s="111">
        <v>170</v>
      </c>
      <c r="G47" s="109">
        <v>0</v>
      </c>
      <c r="H47" s="122" t="s">
        <v>36</v>
      </c>
      <c r="I47" s="112">
        <f t="shared" si="34"/>
        <v>28.496614974177945</v>
      </c>
      <c r="J47" s="113">
        <f t="shared" si="35"/>
        <v>29.99999999999126</v>
      </c>
      <c r="K47" s="133">
        <v>10</v>
      </c>
      <c r="L47" s="114">
        <f t="shared" si="21"/>
        <v>2.999999999999126</v>
      </c>
      <c r="M47" s="115">
        <f>IF(R47=1,12,IF(S47=1,4,IF(U47=1,6,IF(T47=1,6,1))))+4</f>
        <v>10</v>
      </c>
      <c r="N47" s="116">
        <f>O46+L47/24</f>
        <v>37929.14675671243</v>
      </c>
      <c r="O47" s="117">
        <f t="shared" si="36"/>
        <v>37929.56342337909</v>
      </c>
      <c r="P47" s="97">
        <f t="shared" si="37"/>
        <v>455.5221610959326</v>
      </c>
      <c r="Q47" s="98">
        <f t="shared" si="38"/>
        <v>18.980090045663857</v>
      </c>
      <c r="R47" s="123">
        <f t="shared" si="22"/>
        <v>0</v>
      </c>
      <c r="S47" s="99">
        <f t="shared" si="23"/>
        <v>0</v>
      </c>
      <c r="T47" s="99">
        <f t="shared" si="24"/>
        <v>1</v>
      </c>
      <c r="U47" s="99">
        <f t="shared" si="25"/>
        <v>0</v>
      </c>
      <c r="V47" s="99">
        <f>IF(A54="D",1,0)</f>
        <v>0</v>
      </c>
      <c r="W47" s="100">
        <f t="shared" si="26"/>
        <v>-1</v>
      </c>
      <c r="X47" s="100">
        <f t="shared" si="27"/>
        <v>1</v>
      </c>
      <c r="Y47" s="118">
        <f t="shared" si="28"/>
        <v>0</v>
      </c>
      <c r="Z47" s="118">
        <f t="shared" si="29"/>
        <v>0</v>
      </c>
      <c r="AA47" s="118">
        <f t="shared" si="30"/>
        <v>170</v>
      </c>
      <c r="AB47" s="118">
        <f t="shared" si="31"/>
        <v>0</v>
      </c>
      <c r="AC47" s="119">
        <f t="shared" si="32"/>
        <v>37929.14675671243</v>
      </c>
      <c r="AD47" s="120">
        <v>37060</v>
      </c>
      <c r="AE47" s="121">
        <f>(AC47-AD47)/30.5</f>
        <v>28.496614974177945</v>
      </c>
      <c r="AF47" s="103">
        <f t="shared" si="40"/>
        <v>299.9999999999126</v>
      </c>
    </row>
    <row r="48" spans="1:32" s="99" customFormat="1" ht="14.25">
      <c r="A48" s="125"/>
      <c r="B48" s="107" t="s">
        <v>70</v>
      </c>
      <c r="C48" s="108">
        <v>0</v>
      </c>
      <c r="D48" s="109">
        <v>0</v>
      </c>
      <c r="E48" s="108"/>
      <c r="F48" s="111">
        <v>170</v>
      </c>
      <c r="G48" s="109">
        <v>0</v>
      </c>
      <c r="H48" s="122" t="s">
        <v>36</v>
      </c>
      <c r="I48" s="112">
        <f t="shared" si="34"/>
      </c>
      <c r="J48" s="113">
        <f t="shared" si="35"/>
        <v>0</v>
      </c>
      <c r="K48" s="133">
        <v>10</v>
      </c>
      <c r="L48" s="114">
        <f t="shared" si="21"/>
        <v>0</v>
      </c>
      <c r="M48" s="115">
        <v>0</v>
      </c>
      <c r="N48" s="116">
        <f>O47+L48/24</f>
        <v>37929.56342337909</v>
      </c>
      <c r="O48" s="117">
        <f t="shared" si="36"/>
        <v>37929.56342337909</v>
      </c>
      <c r="P48" s="97">
        <f t="shared" si="37"/>
        <v>455.5221610959326</v>
      </c>
      <c r="Q48" s="98">
        <f t="shared" si="38"/>
        <v>18.980090045663857</v>
      </c>
      <c r="R48" s="123">
        <f t="shared" si="22"/>
        <v>0</v>
      </c>
      <c r="S48" s="99">
        <f t="shared" si="23"/>
        <v>0</v>
      </c>
      <c r="T48" s="99">
        <f t="shared" si="24"/>
        <v>0</v>
      </c>
      <c r="U48" s="99">
        <f t="shared" si="25"/>
        <v>0</v>
      </c>
      <c r="V48" s="99">
        <f>IF(A55="D",1,0)</f>
        <v>0</v>
      </c>
      <c r="W48" s="100">
        <f t="shared" si="26"/>
        <v>-1</v>
      </c>
      <c r="X48" s="100">
        <f t="shared" si="27"/>
        <v>1</v>
      </c>
      <c r="Y48" s="118">
        <f t="shared" si="28"/>
        <v>0</v>
      </c>
      <c r="Z48" s="118">
        <f t="shared" si="29"/>
        <v>0</v>
      </c>
      <c r="AA48" s="118">
        <f t="shared" si="30"/>
        <v>170</v>
      </c>
      <c r="AB48" s="118">
        <f t="shared" si="31"/>
        <v>0</v>
      </c>
      <c r="AC48" s="119">
        <f t="shared" si="32"/>
        <v>0</v>
      </c>
      <c r="AD48" s="120">
        <v>37060</v>
      </c>
      <c r="AE48" s="121">
        <f>(AC48-AD48)/30.5</f>
        <v>-1215.0819672131147</v>
      </c>
      <c r="AF48" s="103">
        <f t="shared" si="40"/>
        <v>0</v>
      </c>
    </row>
    <row r="49" spans="1:32" s="99" customFormat="1" ht="14.25">
      <c r="A49" s="85"/>
      <c r="B49" s="86" t="s">
        <v>37</v>
      </c>
      <c r="C49" s="87">
        <v>0</v>
      </c>
      <c r="D49" s="88">
        <v>30</v>
      </c>
      <c r="E49" s="87" t="s">
        <v>35</v>
      </c>
      <c r="F49" s="89">
        <v>170</v>
      </c>
      <c r="G49" s="88">
        <v>0</v>
      </c>
      <c r="H49" s="90" t="s">
        <v>36</v>
      </c>
      <c r="I49" s="104">
        <f t="shared" si="34"/>
      </c>
      <c r="J49" s="91">
        <f t="shared" si="35"/>
        <v>29.99999999999126</v>
      </c>
      <c r="K49" s="133">
        <v>10</v>
      </c>
      <c r="L49" s="93">
        <f t="shared" si="21"/>
        <v>2.999999999999126</v>
      </c>
      <c r="M49" s="94">
        <v>1.2</v>
      </c>
      <c r="N49" s="95">
        <f t="shared" si="39"/>
        <v>37929.68842337909</v>
      </c>
      <c r="O49" s="96">
        <f t="shared" si="36"/>
        <v>37929.738423379094</v>
      </c>
      <c r="P49" s="97">
        <f t="shared" si="37"/>
        <v>459.7221610959317</v>
      </c>
      <c r="Q49" s="98">
        <f t="shared" si="38"/>
        <v>19.155090045663822</v>
      </c>
      <c r="R49" s="99">
        <f t="shared" si="22"/>
        <v>0</v>
      </c>
      <c r="S49" s="99">
        <f t="shared" si="23"/>
        <v>0</v>
      </c>
      <c r="T49" s="99">
        <f t="shared" si="24"/>
        <v>0</v>
      </c>
      <c r="U49" s="99">
        <f t="shared" si="25"/>
        <v>0</v>
      </c>
      <c r="V49" s="99">
        <f>IF(A57="D",1,0)</f>
        <v>0</v>
      </c>
      <c r="W49" s="100">
        <f t="shared" si="26"/>
        <v>1</v>
      </c>
      <c r="X49" s="100">
        <f t="shared" si="27"/>
        <v>1</v>
      </c>
      <c r="Y49" s="99">
        <f t="shared" si="28"/>
        <v>0</v>
      </c>
      <c r="Z49" s="99" t="str">
        <f t="shared" si="29"/>
        <v>N</v>
      </c>
      <c r="AA49" s="99">
        <f t="shared" si="30"/>
        <v>170</v>
      </c>
      <c r="AB49" s="99">
        <f t="shared" si="31"/>
        <v>0</v>
      </c>
      <c r="AC49" s="101">
        <f t="shared" si="32"/>
        <v>0</v>
      </c>
      <c r="AD49" s="120"/>
      <c r="AE49" s="102"/>
      <c r="AF49" s="103">
        <f t="shared" si="40"/>
        <v>299.9999999999126</v>
      </c>
    </row>
    <row r="50" spans="1:32" s="99" customFormat="1" ht="14.25">
      <c r="A50" s="85"/>
      <c r="B50" s="86" t="s">
        <v>37</v>
      </c>
      <c r="C50" s="87">
        <v>1</v>
      </c>
      <c r="D50" s="88">
        <v>0</v>
      </c>
      <c r="E50" s="87" t="s">
        <v>35</v>
      </c>
      <c r="F50" s="89">
        <v>170</v>
      </c>
      <c r="G50" s="88">
        <v>0</v>
      </c>
      <c r="H50" s="90" t="s">
        <v>36</v>
      </c>
      <c r="I50" s="104">
        <f t="shared" si="34"/>
      </c>
      <c r="J50" s="91">
        <f t="shared" si="35"/>
        <v>29.99999999999126</v>
      </c>
      <c r="K50" s="133">
        <v>10</v>
      </c>
      <c r="L50" s="93">
        <f t="shared" si="21"/>
        <v>2.999999999999126</v>
      </c>
      <c r="M50" s="94">
        <v>1.2</v>
      </c>
      <c r="N50" s="95">
        <f t="shared" si="39"/>
        <v>37929.863423379094</v>
      </c>
      <c r="O50" s="96">
        <f t="shared" si="36"/>
        <v>37929.9134233791</v>
      </c>
      <c r="P50" s="97">
        <f t="shared" si="37"/>
        <v>463.92216109593085</v>
      </c>
      <c r="Q50" s="98">
        <f t="shared" si="38"/>
        <v>19.330090045663784</v>
      </c>
      <c r="R50" s="99">
        <f t="shared" si="22"/>
        <v>0</v>
      </c>
      <c r="S50" s="99">
        <f t="shared" si="23"/>
        <v>0</v>
      </c>
      <c r="T50" s="99">
        <f t="shared" si="24"/>
        <v>0</v>
      </c>
      <c r="U50" s="99">
        <f t="shared" si="25"/>
        <v>0</v>
      </c>
      <c r="V50" s="99">
        <f>IF(A56="D",1,0)</f>
        <v>0</v>
      </c>
      <c r="W50" s="100">
        <f t="shared" si="26"/>
        <v>1</v>
      </c>
      <c r="X50" s="100">
        <f t="shared" si="27"/>
        <v>1</v>
      </c>
      <c r="Y50" s="99">
        <f t="shared" si="28"/>
        <v>1</v>
      </c>
      <c r="Z50" s="99" t="str">
        <f t="shared" si="29"/>
        <v>N</v>
      </c>
      <c r="AA50" s="99">
        <f t="shared" si="30"/>
        <v>170</v>
      </c>
      <c r="AB50" s="99">
        <f t="shared" si="31"/>
        <v>0</v>
      </c>
      <c r="AC50" s="101">
        <f t="shared" si="32"/>
        <v>0</v>
      </c>
      <c r="AD50" s="105"/>
      <c r="AE50" s="102">
        <f>(AC50-AD50)/30.5</f>
        <v>0</v>
      </c>
      <c r="AF50" s="103">
        <f t="shared" si="40"/>
        <v>299.9999999999126</v>
      </c>
    </row>
    <row r="51" spans="1:32" s="99" customFormat="1" ht="14.25">
      <c r="A51" s="85"/>
      <c r="B51" s="86" t="s">
        <v>37</v>
      </c>
      <c r="C51" s="87">
        <v>1</v>
      </c>
      <c r="D51" s="88">
        <v>30</v>
      </c>
      <c r="E51" s="87" t="s">
        <v>35</v>
      </c>
      <c r="F51" s="89">
        <v>170</v>
      </c>
      <c r="G51" s="88">
        <v>0</v>
      </c>
      <c r="H51" s="90" t="s">
        <v>36</v>
      </c>
      <c r="I51" s="104">
        <f t="shared" si="34"/>
      </c>
      <c r="J51" s="91">
        <f t="shared" si="35"/>
        <v>29.99999999999126</v>
      </c>
      <c r="K51" s="133">
        <v>10</v>
      </c>
      <c r="L51" s="93">
        <f t="shared" si="21"/>
        <v>2.999999999999126</v>
      </c>
      <c r="M51" s="94">
        <v>1.2</v>
      </c>
      <c r="N51" s="95">
        <f t="shared" si="39"/>
        <v>37930.0384233791</v>
      </c>
      <c r="O51" s="96">
        <f t="shared" si="36"/>
        <v>37930.0884233791</v>
      </c>
      <c r="P51" s="97">
        <f t="shared" si="37"/>
        <v>468.12216109593</v>
      </c>
      <c r="Q51" s="98">
        <f t="shared" si="38"/>
        <v>19.50509004566375</v>
      </c>
      <c r="R51" s="99">
        <f t="shared" si="22"/>
        <v>0</v>
      </c>
      <c r="S51" s="99">
        <f t="shared" si="23"/>
        <v>0</v>
      </c>
      <c r="T51" s="99">
        <f t="shared" si="24"/>
        <v>0</v>
      </c>
      <c r="U51" s="99">
        <f t="shared" si="25"/>
        <v>0</v>
      </c>
      <c r="V51" s="99">
        <f>IF(A59="D",1,0)</f>
        <v>0</v>
      </c>
      <c r="W51" s="100">
        <f t="shared" si="26"/>
        <v>1</v>
      </c>
      <c r="X51" s="100">
        <f t="shared" si="27"/>
        <v>1</v>
      </c>
      <c r="Y51" s="99">
        <f t="shared" si="28"/>
        <v>1</v>
      </c>
      <c r="Z51" s="99" t="str">
        <f t="shared" si="29"/>
        <v>N</v>
      </c>
      <c r="AA51" s="99">
        <f t="shared" si="30"/>
        <v>170</v>
      </c>
      <c r="AB51" s="99">
        <f t="shared" si="31"/>
        <v>0</v>
      </c>
      <c r="AC51" s="101">
        <f t="shared" si="32"/>
        <v>0</v>
      </c>
      <c r="AD51" s="105"/>
      <c r="AE51" s="102"/>
      <c r="AF51" s="103">
        <f t="shared" si="40"/>
        <v>299.9999999999126</v>
      </c>
    </row>
    <row r="52" spans="1:32" s="118" customFormat="1" ht="14.25">
      <c r="A52" s="125" t="s">
        <v>38</v>
      </c>
      <c r="B52" s="107" t="s">
        <v>65</v>
      </c>
      <c r="C52" s="108">
        <v>2</v>
      </c>
      <c r="D52" s="109">
        <v>0</v>
      </c>
      <c r="E52" s="108" t="s">
        <v>35</v>
      </c>
      <c r="F52" s="111">
        <v>170</v>
      </c>
      <c r="G52" s="109">
        <v>0</v>
      </c>
      <c r="H52" s="122" t="s">
        <v>36</v>
      </c>
      <c r="I52" s="112">
        <f t="shared" si="34"/>
        <v>94.8594565042328</v>
      </c>
      <c r="J52" s="113">
        <f t="shared" si="35"/>
        <v>29.99999999999126</v>
      </c>
      <c r="K52" s="133">
        <v>10</v>
      </c>
      <c r="L52" s="114">
        <f t="shared" si="21"/>
        <v>2.999999999999126</v>
      </c>
      <c r="M52" s="115">
        <v>16</v>
      </c>
      <c r="N52" s="116">
        <f t="shared" si="39"/>
        <v>37930.2134233791</v>
      </c>
      <c r="O52" s="117">
        <f t="shared" si="36"/>
        <v>37930.880090045765</v>
      </c>
      <c r="P52" s="126">
        <f t="shared" si="37"/>
        <v>487.12216109592913</v>
      </c>
      <c r="Q52" s="134">
        <f t="shared" si="38"/>
        <v>20.29675671233038</v>
      </c>
      <c r="R52" s="118">
        <f t="shared" si="22"/>
        <v>1</v>
      </c>
      <c r="S52" s="118">
        <f t="shared" si="23"/>
        <v>0</v>
      </c>
      <c r="T52" s="118">
        <f t="shared" si="24"/>
        <v>0</v>
      </c>
      <c r="U52" s="118">
        <f t="shared" si="25"/>
        <v>0</v>
      </c>
      <c r="V52" s="118">
        <f>IF(A58="D",1,0)</f>
        <v>0</v>
      </c>
      <c r="W52" s="135">
        <f t="shared" si="26"/>
        <v>1</v>
      </c>
      <c r="X52" s="135">
        <f t="shared" si="27"/>
        <v>1</v>
      </c>
      <c r="Y52" s="118">
        <f t="shared" si="28"/>
        <v>2</v>
      </c>
      <c r="Z52" s="118" t="str">
        <f t="shared" si="29"/>
        <v>N</v>
      </c>
      <c r="AA52" s="118">
        <f t="shared" si="30"/>
        <v>170</v>
      </c>
      <c r="AB52" s="118" t="str">
        <f t="shared" si="31"/>
        <v>R</v>
      </c>
      <c r="AC52" s="119">
        <f t="shared" si="32"/>
        <v>37930.2134233791</v>
      </c>
      <c r="AD52" s="131">
        <v>35037</v>
      </c>
      <c r="AE52" s="54">
        <f>(AC52-AD52)/30.5</f>
        <v>94.8594565042328</v>
      </c>
      <c r="AF52" s="23">
        <f t="shared" si="40"/>
        <v>299.9999999999126</v>
      </c>
    </row>
    <row r="53" spans="1:32" s="99" customFormat="1" ht="14.25">
      <c r="A53" s="85"/>
      <c r="B53" s="86" t="s">
        <v>37</v>
      </c>
      <c r="C53" s="87">
        <v>2</v>
      </c>
      <c r="D53" s="88">
        <v>30</v>
      </c>
      <c r="E53" s="87" t="s">
        <v>35</v>
      </c>
      <c r="F53" s="89">
        <v>170</v>
      </c>
      <c r="G53" s="88">
        <v>0</v>
      </c>
      <c r="H53" s="90" t="s">
        <v>36</v>
      </c>
      <c r="I53" s="104"/>
      <c r="J53" s="91">
        <f t="shared" si="35"/>
        <v>29.99999999994775</v>
      </c>
      <c r="K53" s="133">
        <v>10</v>
      </c>
      <c r="L53" s="93">
        <f t="shared" si="21"/>
        <v>2.999999999994775</v>
      </c>
      <c r="M53" s="94">
        <v>1.2</v>
      </c>
      <c r="N53" s="95">
        <f t="shared" si="39"/>
        <v>37931.005090045765</v>
      </c>
      <c r="O53" s="96">
        <f t="shared" si="36"/>
        <v>37931.05509004577</v>
      </c>
      <c r="P53" s="97">
        <f t="shared" si="37"/>
        <v>491.3221610959239</v>
      </c>
      <c r="Q53" s="98">
        <f t="shared" si="38"/>
        <v>20.471756712330162</v>
      </c>
      <c r="R53" s="99">
        <f t="shared" si="22"/>
        <v>0</v>
      </c>
      <c r="S53" s="99">
        <f t="shared" si="23"/>
        <v>0</v>
      </c>
      <c r="T53" s="99">
        <f t="shared" si="24"/>
        <v>0</v>
      </c>
      <c r="U53" s="99">
        <f t="shared" si="25"/>
        <v>0</v>
      </c>
      <c r="V53" s="99">
        <f aca="true" t="shared" si="41" ref="V53:V61">IF(A57="D",1,0)</f>
        <v>0</v>
      </c>
      <c r="W53" s="100">
        <f t="shared" si="26"/>
        <v>1</v>
      </c>
      <c r="X53" s="100">
        <f t="shared" si="27"/>
        <v>1</v>
      </c>
      <c r="Y53" s="99">
        <f t="shared" si="28"/>
        <v>2</v>
      </c>
      <c r="Z53" s="99" t="str">
        <f t="shared" si="29"/>
        <v>N</v>
      </c>
      <c r="AA53" s="99">
        <f t="shared" si="30"/>
        <v>170</v>
      </c>
      <c r="AB53" s="99">
        <f t="shared" si="31"/>
        <v>0</v>
      </c>
      <c r="AC53" s="101">
        <f t="shared" si="32"/>
        <v>0</v>
      </c>
      <c r="AD53" s="120"/>
      <c r="AE53" s="132"/>
      <c r="AF53" s="103">
        <f t="shared" si="40"/>
        <v>299.9999999994775</v>
      </c>
    </row>
    <row r="54" spans="1:32" s="99" customFormat="1" ht="14.25">
      <c r="A54" s="85"/>
      <c r="B54" s="86" t="s">
        <v>37</v>
      </c>
      <c r="C54" s="87">
        <v>3</v>
      </c>
      <c r="D54" s="88">
        <v>0</v>
      </c>
      <c r="E54" s="87" t="s">
        <v>35</v>
      </c>
      <c r="F54" s="89">
        <v>170</v>
      </c>
      <c r="G54" s="88">
        <v>0</v>
      </c>
      <c r="H54" s="90" t="s">
        <v>36</v>
      </c>
      <c r="I54" s="104">
        <f aca="true" t="shared" si="42" ref="I54:I61">IF(R54=1,AE54,IF(S54=1,AE54,IF(T54=1,AE54,IF(U54=1,AE54,IF(V54=1,AE54,"")))))</f>
      </c>
      <c r="J54" s="91">
        <f t="shared" si="35"/>
        <v>29.99999999999126</v>
      </c>
      <c r="K54" s="133">
        <v>10</v>
      </c>
      <c r="L54" s="93">
        <f t="shared" si="21"/>
        <v>2.999999999999126</v>
      </c>
      <c r="M54" s="94">
        <v>1.2</v>
      </c>
      <c r="N54" s="95">
        <f t="shared" si="39"/>
        <v>37931.18009004577</v>
      </c>
      <c r="O54" s="96">
        <f t="shared" si="36"/>
        <v>37931.23009004577</v>
      </c>
      <c r="P54" s="97">
        <f t="shared" si="37"/>
        <v>495.522161095923</v>
      </c>
      <c r="Q54" s="98">
        <f t="shared" si="38"/>
        <v>20.646756712330127</v>
      </c>
      <c r="R54" s="99">
        <f t="shared" si="22"/>
        <v>0</v>
      </c>
      <c r="S54" s="99">
        <f t="shared" si="23"/>
        <v>0</v>
      </c>
      <c r="T54" s="99">
        <f t="shared" si="24"/>
        <v>0</v>
      </c>
      <c r="U54" s="99">
        <f t="shared" si="25"/>
        <v>0</v>
      </c>
      <c r="V54" s="99">
        <f t="shared" si="41"/>
        <v>0</v>
      </c>
      <c r="W54" s="100">
        <f t="shared" si="26"/>
        <v>1</v>
      </c>
      <c r="X54" s="100">
        <f t="shared" si="27"/>
        <v>1</v>
      </c>
      <c r="Y54" s="99">
        <f t="shared" si="28"/>
        <v>3</v>
      </c>
      <c r="Z54" s="99" t="str">
        <f t="shared" si="29"/>
        <v>N</v>
      </c>
      <c r="AA54" s="99">
        <f t="shared" si="30"/>
        <v>170</v>
      </c>
      <c r="AB54" s="99">
        <f t="shared" si="31"/>
        <v>0</v>
      </c>
      <c r="AC54" s="101">
        <f t="shared" si="32"/>
        <v>0</v>
      </c>
      <c r="AD54" s="105"/>
      <c r="AE54" s="102">
        <f aca="true" t="shared" si="43" ref="AE54:AE61">(AC54-AD54)/30.5</f>
        <v>0</v>
      </c>
      <c r="AF54" s="103">
        <f t="shared" si="40"/>
        <v>299.9999999999126</v>
      </c>
    </row>
    <row r="55" spans="1:32" s="99" customFormat="1" ht="14.25">
      <c r="A55" s="85"/>
      <c r="B55" s="86" t="s">
        <v>37</v>
      </c>
      <c r="C55" s="87">
        <v>4</v>
      </c>
      <c r="D55" s="88">
        <v>0</v>
      </c>
      <c r="E55" s="87" t="s">
        <v>35</v>
      </c>
      <c r="F55" s="89">
        <v>170</v>
      </c>
      <c r="G55" s="88">
        <v>0</v>
      </c>
      <c r="H55" s="90" t="s">
        <v>36</v>
      </c>
      <c r="I55" s="112">
        <f t="shared" si="42"/>
      </c>
      <c r="J55" s="91">
        <f t="shared" si="35"/>
        <v>60.00000000001535</v>
      </c>
      <c r="K55" s="133">
        <v>10</v>
      </c>
      <c r="L55" s="93">
        <f t="shared" si="21"/>
        <v>6.000000000001535</v>
      </c>
      <c r="M55" s="94">
        <v>1.2</v>
      </c>
      <c r="N55" s="95">
        <f t="shared" si="39"/>
        <v>37931.48009004577</v>
      </c>
      <c r="O55" s="96">
        <f t="shared" si="36"/>
        <v>37931.53009004577</v>
      </c>
      <c r="P55" s="97">
        <f t="shared" si="37"/>
        <v>502.72216109592455</v>
      </c>
      <c r="Q55" s="98">
        <f t="shared" si="38"/>
        <v>20.94675671233019</v>
      </c>
      <c r="R55" s="99">
        <f t="shared" si="22"/>
        <v>0</v>
      </c>
      <c r="S55" s="99">
        <f t="shared" si="23"/>
        <v>0</v>
      </c>
      <c r="T55" s="99">
        <f t="shared" si="24"/>
        <v>0</v>
      </c>
      <c r="U55" s="99">
        <f t="shared" si="25"/>
        <v>0</v>
      </c>
      <c r="V55" s="99">
        <f t="shared" si="41"/>
        <v>0</v>
      </c>
      <c r="W55" s="100">
        <f t="shared" si="26"/>
        <v>1</v>
      </c>
      <c r="X55" s="100">
        <f t="shared" si="27"/>
        <v>1</v>
      </c>
      <c r="Y55" s="99">
        <f t="shared" si="28"/>
        <v>4</v>
      </c>
      <c r="Z55" s="99" t="str">
        <f t="shared" si="29"/>
        <v>N</v>
      </c>
      <c r="AA55" s="99">
        <f t="shared" si="30"/>
        <v>170</v>
      </c>
      <c r="AB55" s="99">
        <f t="shared" si="31"/>
        <v>0</v>
      </c>
      <c r="AC55" s="101">
        <f t="shared" si="32"/>
        <v>0</v>
      </c>
      <c r="AD55" s="105"/>
      <c r="AE55" s="102">
        <f t="shared" si="43"/>
        <v>0</v>
      </c>
      <c r="AF55" s="103">
        <f t="shared" si="40"/>
        <v>600.0000000001535</v>
      </c>
    </row>
    <row r="56" spans="1:32" s="99" customFormat="1" ht="14.25">
      <c r="A56" s="125" t="s">
        <v>61</v>
      </c>
      <c r="B56" s="107" t="s">
        <v>73</v>
      </c>
      <c r="C56" s="108">
        <v>5</v>
      </c>
      <c r="D56" s="109">
        <v>0</v>
      </c>
      <c r="E56" s="108" t="s">
        <v>35</v>
      </c>
      <c r="F56" s="111">
        <v>170</v>
      </c>
      <c r="G56" s="109">
        <v>0</v>
      </c>
      <c r="H56" s="122" t="s">
        <v>36</v>
      </c>
      <c r="I56" s="112">
        <f t="shared" si="42"/>
        <v>28.48459311625486</v>
      </c>
      <c r="J56" s="113">
        <f t="shared" si="35"/>
        <v>60.00000000001535</v>
      </c>
      <c r="K56" s="133">
        <v>10</v>
      </c>
      <c r="L56" s="114">
        <f t="shared" si="21"/>
        <v>6.000000000001535</v>
      </c>
      <c r="M56" s="115">
        <v>6</v>
      </c>
      <c r="N56" s="116">
        <f t="shared" si="39"/>
        <v>37931.78009004577</v>
      </c>
      <c r="O56" s="117">
        <f t="shared" si="36"/>
        <v>37932.03009004577</v>
      </c>
      <c r="P56" s="97">
        <f t="shared" si="37"/>
        <v>514.7221610959261</v>
      </c>
      <c r="Q56" s="98">
        <f t="shared" si="38"/>
        <v>21.446756712330256</v>
      </c>
      <c r="R56" s="99">
        <f t="shared" si="22"/>
        <v>0</v>
      </c>
      <c r="S56" s="123">
        <f t="shared" si="23"/>
        <v>0</v>
      </c>
      <c r="T56" s="99">
        <f t="shared" si="24"/>
        <v>1</v>
      </c>
      <c r="U56" s="99">
        <f t="shared" si="25"/>
        <v>0</v>
      </c>
      <c r="V56" s="99">
        <f t="shared" si="41"/>
        <v>0</v>
      </c>
      <c r="W56" s="100">
        <f t="shared" si="26"/>
        <v>1</v>
      </c>
      <c r="X56" s="100">
        <f t="shared" si="27"/>
        <v>1</v>
      </c>
      <c r="Y56" s="118">
        <f t="shared" si="28"/>
        <v>5</v>
      </c>
      <c r="Z56" s="118" t="str">
        <f t="shared" si="29"/>
        <v>N</v>
      </c>
      <c r="AA56" s="118">
        <f t="shared" si="30"/>
        <v>170</v>
      </c>
      <c r="AB56" s="118">
        <f t="shared" si="31"/>
        <v>0</v>
      </c>
      <c r="AC56" s="119">
        <f t="shared" si="32"/>
        <v>37931.78009004577</v>
      </c>
      <c r="AD56" s="120">
        <v>37063</v>
      </c>
      <c r="AE56" s="121">
        <f t="shared" si="43"/>
        <v>28.48459311625486</v>
      </c>
      <c r="AF56" s="103">
        <f t="shared" si="40"/>
        <v>600.0000000001535</v>
      </c>
    </row>
    <row r="57" spans="1:32" s="99" customFormat="1" ht="14.25">
      <c r="A57" s="85"/>
      <c r="B57" s="86" t="s">
        <v>37</v>
      </c>
      <c r="C57" s="87">
        <v>6</v>
      </c>
      <c r="D57" s="88">
        <v>0</v>
      </c>
      <c r="E57" s="87" t="s">
        <v>35</v>
      </c>
      <c r="F57" s="89">
        <v>170</v>
      </c>
      <c r="G57" s="88">
        <v>0</v>
      </c>
      <c r="H57" s="90" t="s">
        <v>36</v>
      </c>
      <c r="I57" s="104">
        <f t="shared" si="42"/>
      </c>
      <c r="J57" s="91">
        <f t="shared" si="35"/>
        <v>60.00000000001535</v>
      </c>
      <c r="K57" s="133">
        <v>10</v>
      </c>
      <c r="L57" s="93">
        <f t="shared" si="21"/>
        <v>6.000000000001535</v>
      </c>
      <c r="M57" s="94">
        <v>1.2</v>
      </c>
      <c r="N57" s="95">
        <f t="shared" si="39"/>
        <v>37932.28009004577</v>
      </c>
      <c r="O57" s="96">
        <f t="shared" si="36"/>
        <v>37932.330090045776</v>
      </c>
      <c r="P57" s="97">
        <f t="shared" si="37"/>
        <v>521.9221610959278</v>
      </c>
      <c r="Q57" s="98">
        <f t="shared" si="38"/>
        <v>21.746756712330324</v>
      </c>
      <c r="R57" s="99">
        <f t="shared" si="22"/>
        <v>0</v>
      </c>
      <c r="S57" s="99">
        <f t="shared" si="23"/>
        <v>0</v>
      </c>
      <c r="T57" s="99">
        <f t="shared" si="24"/>
        <v>0</v>
      </c>
      <c r="U57" s="99">
        <f t="shared" si="25"/>
        <v>0</v>
      </c>
      <c r="V57" s="99">
        <f t="shared" si="41"/>
        <v>0</v>
      </c>
      <c r="W57" s="100">
        <f t="shared" si="26"/>
        <v>1</v>
      </c>
      <c r="X57" s="100">
        <f t="shared" si="27"/>
        <v>1</v>
      </c>
      <c r="Y57" s="99">
        <f t="shared" si="28"/>
        <v>6</v>
      </c>
      <c r="Z57" s="99" t="str">
        <f t="shared" si="29"/>
        <v>N</v>
      </c>
      <c r="AA57" s="99">
        <f t="shared" si="30"/>
        <v>170</v>
      </c>
      <c r="AB57" s="99">
        <f t="shared" si="31"/>
        <v>0</v>
      </c>
      <c r="AC57" s="101">
        <f t="shared" si="32"/>
        <v>0</v>
      </c>
      <c r="AD57" s="105"/>
      <c r="AE57" s="102">
        <f t="shared" si="43"/>
        <v>0</v>
      </c>
      <c r="AF57" s="103">
        <f t="shared" si="40"/>
        <v>600.0000000001535</v>
      </c>
    </row>
    <row r="58" spans="1:32" s="99" customFormat="1" ht="14.25">
      <c r="A58" s="85"/>
      <c r="B58" s="86" t="s">
        <v>37</v>
      </c>
      <c r="C58" s="87">
        <v>7</v>
      </c>
      <c r="D58" s="88">
        <v>0</v>
      </c>
      <c r="E58" s="87" t="s">
        <v>35</v>
      </c>
      <c r="F58" s="89">
        <v>170</v>
      </c>
      <c r="G58" s="88">
        <v>0</v>
      </c>
      <c r="H58" s="90" t="s">
        <v>36</v>
      </c>
      <c r="I58" s="104">
        <f t="shared" si="42"/>
      </c>
      <c r="J58" s="91">
        <f t="shared" si="35"/>
        <v>60.00000000003748</v>
      </c>
      <c r="K58" s="133">
        <v>10</v>
      </c>
      <c r="L58" s="93">
        <f t="shared" si="21"/>
        <v>6.000000000003748</v>
      </c>
      <c r="M58" s="94">
        <v>1.2</v>
      </c>
      <c r="N58" s="95">
        <f t="shared" si="39"/>
        <v>37932.580090045776</v>
      </c>
      <c r="O58" s="96">
        <f t="shared" si="36"/>
        <v>37932.63009004578</v>
      </c>
      <c r="P58" s="97">
        <f t="shared" si="37"/>
        <v>529.1221610959316</v>
      </c>
      <c r="Q58" s="98">
        <f t="shared" si="38"/>
        <v>22.04675671233048</v>
      </c>
      <c r="R58" s="99">
        <f t="shared" si="22"/>
        <v>0</v>
      </c>
      <c r="S58" s="99">
        <f t="shared" si="23"/>
        <v>0</v>
      </c>
      <c r="T58" s="99">
        <f t="shared" si="24"/>
        <v>0</v>
      </c>
      <c r="U58" s="99">
        <f t="shared" si="25"/>
        <v>0</v>
      </c>
      <c r="V58" s="99">
        <f t="shared" si="41"/>
        <v>0</v>
      </c>
      <c r="W58" s="100">
        <f t="shared" si="26"/>
        <v>1</v>
      </c>
      <c r="X58" s="100">
        <f t="shared" si="27"/>
        <v>1</v>
      </c>
      <c r="Y58" s="99">
        <f t="shared" si="28"/>
        <v>7</v>
      </c>
      <c r="Z58" s="99" t="str">
        <f t="shared" si="29"/>
        <v>N</v>
      </c>
      <c r="AA58" s="99">
        <f t="shared" si="30"/>
        <v>170</v>
      </c>
      <c r="AB58" s="99">
        <f t="shared" si="31"/>
        <v>0</v>
      </c>
      <c r="AC58" s="101">
        <f t="shared" si="32"/>
        <v>0</v>
      </c>
      <c r="AD58" s="105"/>
      <c r="AE58" s="102">
        <f t="shared" si="43"/>
        <v>0</v>
      </c>
      <c r="AF58" s="103">
        <f t="shared" si="40"/>
        <v>600.0000000003748</v>
      </c>
    </row>
    <row r="59" spans="1:32" s="118" customFormat="1" ht="14.25">
      <c r="A59" s="125" t="s">
        <v>38</v>
      </c>
      <c r="B59" s="107" t="s">
        <v>74</v>
      </c>
      <c r="C59" s="108">
        <v>8</v>
      </c>
      <c r="D59" s="109">
        <v>0</v>
      </c>
      <c r="E59" s="108" t="s">
        <v>35</v>
      </c>
      <c r="F59" s="111">
        <v>170</v>
      </c>
      <c r="G59" s="109">
        <v>0</v>
      </c>
      <c r="H59" s="122" t="s">
        <v>36</v>
      </c>
      <c r="I59" s="112">
        <f t="shared" si="42"/>
        <v>24.586232460517348</v>
      </c>
      <c r="J59" s="113">
        <f t="shared" si="35"/>
        <v>60.00000000001535</v>
      </c>
      <c r="K59" s="133">
        <v>10</v>
      </c>
      <c r="L59" s="114">
        <f t="shared" si="21"/>
        <v>6.000000000001535</v>
      </c>
      <c r="M59" s="115">
        <v>24</v>
      </c>
      <c r="N59" s="116">
        <f>O58+L59/24</f>
        <v>37932.88009004578</v>
      </c>
      <c r="O59" s="117">
        <f t="shared" si="36"/>
        <v>37933.88009004578</v>
      </c>
      <c r="P59" s="97">
        <f t="shared" si="37"/>
        <v>559.122161095933</v>
      </c>
      <c r="Q59" s="98">
        <f t="shared" si="38"/>
        <v>23.296756712330545</v>
      </c>
      <c r="R59" s="99">
        <f t="shared" si="22"/>
        <v>1</v>
      </c>
      <c r="S59" s="99">
        <f t="shared" si="23"/>
        <v>0</v>
      </c>
      <c r="T59" s="99">
        <f t="shared" si="24"/>
        <v>0</v>
      </c>
      <c r="U59" s="99">
        <f t="shared" si="25"/>
        <v>0</v>
      </c>
      <c r="V59" s="99">
        <f t="shared" si="41"/>
        <v>0</v>
      </c>
      <c r="W59" s="100">
        <f t="shared" si="26"/>
        <v>1</v>
      </c>
      <c r="X59" s="100">
        <f t="shared" si="27"/>
        <v>1</v>
      </c>
      <c r="Y59" s="118">
        <f t="shared" si="28"/>
        <v>8</v>
      </c>
      <c r="Z59" s="118" t="str">
        <f t="shared" si="29"/>
        <v>N</v>
      </c>
      <c r="AA59" s="118">
        <f t="shared" si="30"/>
        <v>170</v>
      </c>
      <c r="AB59" s="118" t="str">
        <f t="shared" si="31"/>
        <v>R</v>
      </c>
      <c r="AC59" s="119">
        <f t="shared" si="32"/>
        <v>37932.88009004578</v>
      </c>
      <c r="AD59" s="120">
        <v>37183</v>
      </c>
      <c r="AE59" s="121">
        <f t="shared" si="43"/>
        <v>24.586232460517348</v>
      </c>
      <c r="AF59" s="103">
        <f t="shared" si="40"/>
        <v>600.0000000001535</v>
      </c>
    </row>
    <row r="60" spans="1:32" s="99" customFormat="1" ht="14.25">
      <c r="A60" s="125" t="s">
        <v>61</v>
      </c>
      <c r="B60" s="107" t="s">
        <v>75</v>
      </c>
      <c r="C60" s="108">
        <v>8</v>
      </c>
      <c r="D60" s="109">
        <v>0</v>
      </c>
      <c r="E60" s="108" t="s">
        <v>35</v>
      </c>
      <c r="F60" s="111">
        <v>180</v>
      </c>
      <c r="G60" s="109">
        <v>0</v>
      </c>
      <c r="H60" s="122" t="s">
        <v>36</v>
      </c>
      <c r="I60" s="112">
        <f t="shared" si="42"/>
        <v>23.749367186020997</v>
      </c>
      <c r="J60" s="113">
        <f t="shared" si="35"/>
        <v>594.1461906863454</v>
      </c>
      <c r="K60" s="92">
        <v>10</v>
      </c>
      <c r="L60" s="114">
        <f t="shared" si="21"/>
        <v>59.41461906863454</v>
      </c>
      <c r="M60" s="115">
        <v>6</v>
      </c>
      <c r="N60" s="116">
        <f>O59+L60/24</f>
        <v>37936.35569917364</v>
      </c>
      <c r="O60" s="117">
        <f t="shared" si="36"/>
        <v>37936.60569917364</v>
      </c>
      <c r="P60" s="97">
        <f t="shared" si="37"/>
        <v>624.5367801645676</v>
      </c>
      <c r="Q60" s="98">
        <f t="shared" si="38"/>
        <v>26.022365840190318</v>
      </c>
      <c r="R60" s="99">
        <f t="shared" si="22"/>
        <v>0</v>
      </c>
      <c r="S60" s="99">
        <f t="shared" si="23"/>
        <v>0</v>
      </c>
      <c r="T60" s="123">
        <f t="shared" si="24"/>
        <v>1</v>
      </c>
      <c r="U60" s="99">
        <f t="shared" si="25"/>
        <v>0</v>
      </c>
      <c r="V60" s="99">
        <f t="shared" si="41"/>
        <v>0</v>
      </c>
      <c r="W60" s="100">
        <f t="shared" si="26"/>
        <v>1</v>
      </c>
      <c r="X60" s="100">
        <f t="shared" si="27"/>
        <v>1</v>
      </c>
      <c r="Y60" s="118">
        <f t="shared" si="28"/>
        <v>8</v>
      </c>
      <c r="Z60" s="118" t="str">
        <f t="shared" si="29"/>
        <v>N</v>
      </c>
      <c r="AA60" s="118">
        <f t="shared" si="30"/>
        <v>180</v>
      </c>
      <c r="AB60" s="118">
        <f t="shared" si="31"/>
        <v>0</v>
      </c>
      <c r="AC60" s="119">
        <f t="shared" si="32"/>
        <v>37936.35569917364</v>
      </c>
      <c r="AD60" s="120">
        <v>37212</v>
      </c>
      <c r="AE60" s="121">
        <f t="shared" si="43"/>
        <v>23.749367186020997</v>
      </c>
      <c r="AF60" s="103">
        <f t="shared" si="40"/>
        <v>5941.461906863455</v>
      </c>
    </row>
    <row r="61" spans="1:32" ht="14.25">
      <c r="A61" s="31"/>
      <c r="B61" s="32" t="s">
        <v>42</v>
      </c>
      <c r="C61" s="33">
        <v>8</v>
      </c>
      <c r="D61" s="34">
        <v>43</v>
      </c>
      <c r="E61" s="35" t="s">
        <v>35</v>
      </c>
      <c r="F61" s="33">
        <v>167</v>
      </c>
      <c r="G61" s="34">
        <v>44</v>
      </c>
      <c r="H61" s="35" t="s">
        <v>43</v>
      </c>
      <c r="I61" s="36">
        <f t="shared" si="42"/>
      </c>
      <c r="J61" s="37">
        <f t="shared" si="35"/>
        <v>729.41641033773</v>
      </c>
      <c r="K61" s="92">
        <v>10</v>
      </c>
      <c r="L61" s="38">
        <f t="shared" si="21"/>
        <v>72.941641033773</v>
      </c>
      <c r="M61" s="39"/>
      <c r="N61" s="40">
        <f>O60+L61/24</f>
        <v>37939.64493421672</v>
      </c>
      <c r="O61" s="41"/>
      <c r="P61" s="42">
        <f t="shared" si="37"/>
        <v>697.4784211983406</v>
      </c>
      <c r="Q61" s="43">
        <f t="shared" si="38"/>
        <v>29.06160088326419</v>
      </c>
      <c r="R61" s="2">
        <f t="shared" si="22"/>
        <v>0</v>
      </c>
      <c r="S61" s="2">
        <f t="shared" si="23"/>
        <v>0</v>
      </c>
      <c r="T61" s="2">
        <f t="shared" si="24"/>
        <v>0</v>
      </c>
      <c r="U61" s="2">
        <f t="shared" si="25"/>
        <v>0</v>
      </c>
      <c r="V61" s="2">
        <f t="shared" si="41"/>
        <v>0</v>
      </c>
      <c r="W61" s="44">
        <f t="shared" si="26"/>
        <v>1</v>
      </c>
      <c r="X61" s="44">
        <f t="shared" si="27"/>
        <v>-1</v>
      </c>
      <c r="Y61" s="2">
        <f t="shared" si="28"/>
        <v>8</v>
      </c>
      <c r="Z61" s="2" t="str">
        <f t="shared" si="29"/>
        <v>N</v>
      </c>
      <c r="AA61" s="2">
        <f t="shared" si="30"/>
        <v>167</v>
      </c>
      <c r="AB61" s="2">
        <f t="shared" si="31"/>
        <v>0</v>
      </c>
      <c r="AC61" s="45">
        <f t="shared" si="32"/>
        <v>0</v>
      </c>
      <c r="AD61" s="46"/>
      <c r="AE61" s="47">
        <f t="shared" si="43"/>
        <v>0</v>
      </c>
      <c r="AF61" s="30">
        <f t="shared" si="40"/>
        <v>7294.164103377299</v>
      </c>
    </row>
    <row r="62" spans="2:32" ht="14.25">
      <c r="B62" s="48"/>
      <c r="C62" s="49"/>
      <c r="D62" s="49"/>
      <c r="E62" s="50"/>
      <c r="F62" s="138"/>
      <c r="G62" s="138"/>
      <c r="H62" s="52"/>
      <c r="I62" s="51"/>
      <c r="J62" s="53">
        <f>SUM(J8:J61)</f>
        <v>4956.784211983365</v>
      </c>
      <c r="K62" s="55"/>
      <c r="L62" s="56">
        <f>SUM(L12:L61)</f>
        <v>418.0754231833707</v>
      </c>
      <c r="M62" s="57">
        <f>SUM(M12:M61)</f>
        <v>198.39999999999995</v>
      </c>
      <c r="N62" s="58"/>
      <c r="O62" s="59"/>
      <c r="R62" s="60">
        <f>SUM(R12:R61)</f>
        <v>6</v>
      </c>
      <c r="S62" s="60">
        <f>SUM(S12:S61)</f>
        <v>4</v>
      </c>
      <c r="T62" s="60">
        <f>SUM(T12:T61)</f>
        <v>5</v>
      </c>
      <c r="U62" s="60">
        <f>SUM(U12:U61)</f>
        <v>0</v>
      </c>
      <c r="V62" s="60">
        <f>SUM(V12:V61)</f>
        <v>0</v>
      </c>
      <c r="AF62" s="4">
        <f>(SUM(AF8:AF61))/J62</f>
        <v>9.999999999999995</v>
      </c>
    </row>
    <row r="63" spans="2:9" ht="15">
      <c r="B63" s="61"/>
      <c r="C63" s="62"/>
      <c r="F63" s="153" t="s">
        <v>44</v>
      </c>
      <c r="G63" s="154"/>
      <c r="H63" s="154"/>
      <c r="I63" s="155"/>
    </row>
    <row r="64" spans="2:19" ht="15">
      <c r="B64" s="63"/>
      <c r="C64" s="64"/>
      <c r="F64" s="61" t="s">
        <v>45</v>
      </c>
      <c r="G64" s="65"/>
      <c r="H64" s="66">
        <f>O34-N12</f>
        <v>7.741666666726815</v>
      </c>
      <c r="I64" s="67" t="s">
        <v>46</v>
      </c>
      <c r="M64" s="139" t="s">
        <v>47</v>
      </c>
      <c r="N64" s="140"/>
      <c r="O64" s="68">
        <f>SUM(J8:J11)</f>
        <v>762.0299801496986</v>
      </c>
      <c r="P64" s="69"/>
      <c r="R64" s="70">
        <f>TRUNC(N61)</f>
        <v>37939</v>
      </c>
      <c r="S64" s="70">
        <f>TRUNC(O7)</f>
        <v>37910</v>
      </c>
    </row>
    <row r="65" spans="6:22" ht="15">
      <c r="F65" s="71" t="s">
        <v>48</v>
      </c>
      <c r="G65" s="72"/>
      <c r="H65" s="73">
        <f>O59-N36</f>
        <v>8.216666666710807</v>
      </c>
      <c r="I65" s="74" t="s">
        <v>46</v>
      </c>
      <c r="M65" s="143" t="s">
        <v>49</v>
      </c>
      <c r="N65" s="144"/>
      <c r="O65" s="75">
        <f>SUM(J12:J59)</f>
        <v>2871.1916308095897</v>
      </c>
      <c r="P65" s="69"/>
      <c r="V65" s="2"/>
    </row>
    <row r="66" spans="2:22" ht="15">
      <c r="B66" s="61" t="s">
        <v>50</v>
      </c>
      <c r="C66" s="62">
        <f>SUM(R7:R61)</f>
        <v>6</v>
      </c>
      <c r="F66" s="76" t="s">
        <v>51</v>
      </c>
      <c r="G66" s="72"/>
      <c r="H66" s="77" t="e">
        <f>(N61-O59)+(N12-O7)+(#REF!-O34)</f>
        <v>#REF!</v>
      </c>
      <c r="I66" s="74" t="s">
        <v>46</v>
      </c>
      <c r="M66" s="145" t="s">
        <v>52</v>
      </c>
      <c r="N66" s="144"/>
      <c r="O66" s="78">
        <f>SUM(J60:J61)</f>
        <v>1323.5626010240753</v>
      </c>
      <c r="P66" s="69"/>
      <c r="V66" s="2"/>
    </row>
    <row r="67" spans="2:22" ht="15">
      <c r="B67" s="63" t="s">
        <v>53</v>
      </c>
      <c r="C67" s="64">
        <f>SUM(R7:R61)+1</f>
        <v>7</v>
      </c>
      <c r="F67" s="79" t="s">
        <v>54</v>
      </c>
      <c r="G67" s="80"/>
      <c r="H67" s="81" t="e">
        <f>SUM(H64:H66)</f>
        <v>#REF!</v>
      </c>
      <c r="I67" s="82" t="s">
        <v>46</v>
      </c>
      <c r="M67" s="146" t="s">
        <v>55</v>
      </c>
      <c r="N67" s="147"/>
      <c r="O67" s="83">
        <f>SUM(O64:O66)</f>
        <v>4956.784211983364</v>
      </c>
      <c r="P67" s="69"/>
      <c r="V67" s="2"/>
    </row>
    <row r="68" ht="14.25">
      <c r="V68" s="2"/>
    </row>
    <row r="69" spans="2:22" ht="15">
      <c r="B69" s="61" t="s">
        <v>56</v>
      </c>
      <c r="C69" s="62">
        <v>0</v>
      </c>
      <c r="F69" s="148" t="s">
        <v>57</v>
      </c>
      <c r="G69" s="149"/>
      <c r="H69" s="149"/>
      <c r="I69" s="149"/>
      <c r="J69" s="149"/>
      <c r="K69" s="149"/>
      <c r="L69" s="149"/>
      <c r="M69" s="150" t="s">
        <v>58</v>
      </c>
      <c r="N69" s="150"/>
      <c r="O69" s="150"/>
      <c r="P69" s="150"/>
      <c r="V69" s="2"/>
    </row>
    <row r="70" spans="2:32" ht="15">
      <c r="B70" s="71" t="s">
        <v>59</v>
      </c>
      <c r="C70" s="84">
        <f>SUM(S12:S61)</f>
        <v>4</v>
      </c>
      <c r="S70" s="3"/>
      <c r="T70" s="4"/>
      <c r="V70" s="2"/>
      <c r="AE70" s="2"/>
      <c r="AF70" s="2"/>
    </row>
    <row r="71" spans="2:22" ht="15">
      <c r="B71" s="71" t="s">
        <v>60</v>
      </c>
      <c r="C71" s="84">
        <v>12</v>
      </c>
      <c r="F71" s="141"/>
      <c r="G71" s="142"/>
      <c r="H71" s="142"/>
      <c r="I71" s="142"/>
      <c r="J71" s="142"/>
      <c r="K71" s="142"/>
      <c r="L71" s="142"/>
      <c r="M71" s="142"/>
      <c r="N71" s="142"/>
      <c r="O71" s="142"/>
      <c r="V71" s="2"/>
    </row>
    <row r="72" spans="2:22" ht="15">
      <c r="B72" s="63"/>
      <c r="C72" s="64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V72" s="2"/>
    </row>
    <row r="73" ht="14.25">
      <c r="V73" s="2"/>
    </row>
    <row r="74" ht="14.25">
      <c r="V74" s="2"/>
    </row>
    <row r="75" ht="14.25">
      <c r="V75" s="2"/>
    </row>
    <row r="76" ht="14.25">
      <c r="V76" s="2"/>
    </row>
  </sheetData>
  <mergeCells count="14">
    <mergeCell ref="A1:Q1"/>
    <mergeCell ref="A2:Q2"/>
    <mergeCell ref="A3:Q3"/>
    <mergeCell ref="F63:I63"/>
    <mergeCell ref="F5:H5"/>
    <mergeCell ref="F72:O72"/>
    <mergeCell ref="F62:G62"/>
    <mergeCell ref="M64:N64"/>
    <mergeCell ref="F71:O71"/>
    <mergeCell ref="M65:N65"/>
    <mergeCell ref="M66:N66"/>
    <mergeCell ref="M67:N67"/>
    <mergeCell ref="F69:L69"/>
    <mergeCell ref="M69:P69"/>
  </mergeCells>
  <printOptions horizontalCentered="1" verticalCentered="1"/>
  <pageMargins left="0.45" right="0.46" top="0.3" bottom="0.29" header="0.3" footer="0"/>
  <pageSetup fitToHeight="1" fitToWidth="1" orientation="landscape" scale="55" r:id="rId1"/>
  <headerFooter alignWithMargins="0">
    <oddHeader>&amp;L&amp;D&amp;R&amp;F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Ka'imimoana</dc:creator>
  <cp:keywords/>
  <dc:description/>
  <cp:lastModifiedBy> Linda Stratton</cp:lastModifiedBy>
  <cp:lastPrinted>2002-03-30T16:25:02Z</cp:lastPrinted>
  <dcterms:created xsi:type="dcterms:W3CDTF">2002-03-30T16:17:24Z</dcterms:created>
  <dcterms:modified xsi:type="dcterms:W3CDTF">2003-10-07T21:16:50Z</dcterms:modified>
  <cp:category/>
  <cp:version/>
  <cp:contentType/>
  <cp:contentStatus/>
</cp:coreProperties>
</file>