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001" yWindow="65476" windowWidth="12120" windowHeight="9120" activeTab="0"/>
  </bookViews>
  <sheets>
    <sheet name="KA00; 165e, 180" sheetId="1" r:id="rId1"/>
  </sheets>
  <definedNames>
    <definedName name="CRITERIA">'KA00; 165e, 180'!#REF!</definedName>
    <definedName name="_xlnm.Print_Area" localSheetId="0">'KA00; 165e, 180'!$A$1:$O$71</definedName>
  </definedNames>
  <calcPr fullCalcOnLoad="1"/>
</workbook>
</file>

<file path=xl/sharedStrings.xml><?xml version="1.0" encoding="utf-8"?>
<sst xmlns="http://schemas.openxmlformats.org/spreadsheetml/2006/main" count="223" uniqueCount="81">
  <si>
    <t>Activity</t>
  </si>
  <si>
    <t xml:space="preserve">Latitude  </t>
  </si>
  <si>
    <t xml:space="preserve">Longitude </t>
  </si>
  <si>
    <t>Deployed</t>
  </si>
  <si>
    <t>Speed</t>
  </si>
  <si>
    <t>Transit</t>
  </si>
  <si>
    <t>On Sta</t>
  </si>
  <si>
    <t>Arrive</t>
  </si>
  <si>
    <t>Depart</t>
  </si>
  <si>
    <t>LAT</t>
  </si>
  <si>
    <t>LONG</t>
  </si>
  <si>
    <t>Deg.</t>
  </si>
  <si>
    <t>(mos)</t>
  </si>
  <si>
    <t>(kts)</t>
  </si>
  <si>
    <t>(hrs)</t>
  </si>
  <si>
    <t>Date / Time</t>
  </si>
  <si>
    <t>RECOVER</t>
  </si>
  <si>
    <t>VISIT</t>
  </si>
  <si>
    <t>CORR</t>
  </si>
  <si>
    <t>AT SITE</t>
  </si>
  <si>
    <t>LAST RECOV</t>
  </si>
  <si>
    <t>DIFFERENCE</t>
  </si>
  <si>
    <t>N</t>
  </si>
  <si>
    <t>W</t>
  </si>
  <si>
    <t>V</t>
  </si>
  <si>
    <t>CTD</t>
  </si>
  <si>
    <t>R</t>
  </si>
  <si>
    <t xml:space="preserve"> </t>
  </si>
  <si>
    <t>S</t>
  </si>
  <si>
    <t>hrs</t>
  </si>
  <si>
    <t xml:space="preserve">   Minutes</t>
  </si>
  <si>
    <t xml:space="preserve">     CUMULATIVE</t>
  </si>
  <si>
    <t>(nmi)</t>
  </si>
  <si>
    <t>(days)</t>
  </si>
  <si>
    <t>Distance</t>
  </si>
  <si>
    <t>On Sta.</t>
  </si>
  <si>
    <t>SWAP</t>
  </si>
  <si>
    <t>OUT</t>
  </si>
  <si>
    <t>REPAIR</t>
  </si>
  <si>
    <t>R E</t>
  </si>
  <si>
    <t>NOAA SHIP KA'IMIMOANA</t>
  </si>
  <si>
    <t>E</t>
  </si>
  <si>
    <t>HONOLULU, OAHU</t>
  </si>
  <si>
    <t>KWAJALEIN ATOLL, REPUBLIC OF MARSHALL ISLANDS</t>
  </si>
  <si>
    <t>REPAIR (BUOY RIDE) TAUT-NEXGEN =</t>
  </si>
  <si>
    <t>Kwaj - 8N/165E =</t>
  </si>
  <si>
    <t>165E - 180W =</t>
  </si>
  <si>
    <t>8N/180W - Hono =</t>
  </si>
  <si>
    <t>Total Distance (nmi) =</t>
  </si>
  <si>
    <t>165E: DAS =</t>
  </si>
  <si>
    <t>180W: DAS =</t>
  </si>
  <si>
    <t>TOTAL: DAS =</t>
  </si>
  <si>
    <t>TRANSIT: DAS =</t>
  </si>
  <si>
    <t>DEPLOY</t>
  </si>
  <si>
    <t>ONLY</t>
  </si>
  <si>
    <t>DEPLOY TAUT-NEXGEN =</t>
  </si>
  <si>
    <t>RECOVER TAUT-NEXGEN =</t>
  </si>
  <si>
    <t>Nautical Miles</t>
  </si>
  <si>
    <t>** ALL TIMES ARE HAWAIIAN STANDARD TIME (HST).  NOT ADJUSTED FOR DATELINE CROSSING **</t>
  </si>
  <si>
    <t>6-HOURS ON STATION TIME:  ADDED FOR 4-CTD's BETWEEN 9N-12N ALONG TRANSIT TO HONOLULU</t>
  </si>
  <si>
    <t>165E &amp; 180</t>
  </si>
  <si>
    <t>DEPLOY SUBSURFACE ADCP (NO SS ADCP RECOVERY) =</t>
  </si>
  <si>
    <t>DEPLOY BIGEYE TAUTLINE SURFACE MOORING =</t>
  </si>
  <si>
    <t>KA-03-07</t>
  </si>
  <si>
    <t>17 November - 15 December 2003</t>
  </si>
  <si>
    <t>TAO: GP8-03-KA</t>
  </si>
  <si>
    <t>EPAIR, Swap SWR, dump RAM &amp; CTD</t>
  </si>
  <si>
    <t>EPAIR, Swap SWR, rain, dump RAM &amp; CTD</t>
  </si>
  <si>
    <t>ECOVER/DEPLOY,  &amp; CTD</t>
  </si>
  <si>
    <t>EPAIR Swap SWR, rain, wind. (INSERT, FAIRED 0-250m) &amp; CTD</t>
  </si>
  <si>
    <t>SS ADCP Recover/Deploy</t>
  </si>
  <si>
    <t>ecover/Deploy TAUT-NG  &amp; CTD</t>
  </si>
  <si>
    <t>ecover/Deploy  TAUT-NG &amp; CTD</t>
  </si>
  <si>
    <t>epair.  Swap SWR, dump RAM.  &amp; CTD</t>
  </si>
  <si>
    <t>ecover/Deploy TAUT-NG &amp; CTD</t>
  </si>
  <si>
    <t>EPAIR TAUT-NG, Swap tube and met sensors, &amp; CTD</t>
  </si>
  <si>
    <t>ecover/Deploy  TAUT-NG, &amp; CTD</t>
  </si>
  <si>
    <t>ECOVER/DEPLOY TAUT-NG &amp; CTD</t>
  </si>
  <si>
    <t>isit TAUT-NG, CTD</t>
  </si>
  <si>
    <t>isit, CTD</t>
  </si>
  <si>
    <t>VISIT TAUT-NEXGEN 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</si>
</sst>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b/>
      <i/>
      <sz val="11"/>
      <name val="Geneva"/>
      <family val="0"/>
    </font>
    <font>
      <i/>
      <sz val="11"/>
      <name val="Geneva"/>
      <family val="0"/>
    </font>
    <font>
      <i/>
      <u val="single"/>
      <sz val="11"/>
      <name val="Geneva"/>
      <family val="0"/>
    </font>
    <font>
      <sz val="11"/>
      <color indexed="10"/>
      <name val="Geneva"/>
      <family val="0"/>
    </font>
    <font>
      <sz val="11"/>
      <color indexed="12"/>
      <name val="Geneva"/>
      <family val="0"/>
    </font>
    <font>
      <u val="single"/>
      <sz val="11"/>
      <name val="Geneva"/>
      <family val="0"/>
    </font>
    <font>
      <b/>
      <u val="single"/>
      <sz val="11"/>
      <name val="Geneva"/>
      <family val="0"/>
    </font>
    <font>
      <i/>
      <sz val="11"/>
      <color indexed="12"/>
      <name val="Geneva"/>
      <family val="0"/>
    </font>
    <font>
      <b/>
      <u val="single"/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6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71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71" fontId="7" fillId="0" borderId="1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/>
    </xf>
    <xf numFmtId="169" fontId="11" fillId="0" borderId="8" xfId="0" applyNumberFormat="1" applyFont="1" applyBorder="1" applyAlignment="1">
      <alignment horizontal="center"/>
    </xf>
    <xf numFmtId="169" fontId="1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15" fontId="12" fillId="0" borderId="0" xfId="0" applyNumberFormat="1" applyFont="1" applyAlignment="1">
      <alignment/>
    </xf>
    <xf numFmtId="15" fontId="7" fillId="0" borderId="9" xfId="0" applyNumberFormat="1" applyFont="1" applyBorder="1" applyAlignment="1">
      <alignment/>
    </xf>
    <xf numFmtId="169" fontId="7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/>
    </xf>
    <xf numFmtId="15" fontId="11" fillId="0" borderId="9" xfId="0" applyNumberFormat="1" applyFont="1" applyFill="1" applyBorder="1" applyAlignment="1">
      <alignment/>
    </xf>
    <xf numFmtId="0" fontId="11" fillId="0" borderId="1" xfId="0" applyFont="1" applyBorder="1" applyAlignment="1">
      <alignment horizontal="center"/>
    </xf>
    <xf numFmtId="171" fontId="11" fillId="0" borderId="1" xfId="0" applyNumberFormat="1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71" fontId="11" fillId="0" borderId="1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right"/>
    </xf>
    <xf numFmtId="0" fontId="11" fillId="0" borderId="8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169" fontId="11" fillId="0" borderId="8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/>
    </xf>
    <xf numFmtId="1" fontId="7" fillId="2" borderId="7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2" borderId="9" xfId="0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5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2" borderId="13" xfId="0" applyNumberFormat="1" applyFont="1" applyFill="1" applyBorder="1" applyAlignment="1">
      <alignment horizontal="center" wrapText="1"/>
    </xf>
    <xf numFmtId="1" fontId="6" fillId="2" borderId="9" xfId="0" applyNumberFormat="1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14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6" fillId="2" borderId="3" xfId="0" applyNumberFormat="1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3" borderId="8" xfId="0" applyFont="1" applyFill="1" applyBorder="1" applyAlignment="1">
      <alignment/>
    </xf>
    <xf numFmtId="15" fontId="11" fillId="3" borderId="9" xfId="0" applyNumberFormat="1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171" fontId="11" fillId="3" borderId="1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/>
    </xf>
    <xf numFmtId="169" fontId="11" fillId="3" borderId="8" xfId="0" applyNumberFormat="1" applyFont="1" applyFill="1" applyBorder="1" applyAlignment="1">
      <alignment horizontal="center"/>
    </xf>
    <xf numFmtId="169" fontId="11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2" fontId="7" fillId="3" borderId="0" xfId="0" applyNumberFormat="1" applyFont="1" applyFill="1" applyAlignment="1">
      <alignment/>
    </xf>
    <xf numFmtId="15" fontId="12" fillId="3" borderId="0" xfId="0" applyNumberFormat="1" applyFont="1" applyFill="1" applyAlignment="1">
      <alignment/>
    </xf>
    <xf numFmtId="2" fontId="11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15" fontId="11" fillId="0" borderId="9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6" fillId="2" borderId="14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14" fillId="2" borderId="14" xfId="0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7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tabSelected="1" zoomScale="75" zoomScaleNormal="75" workbookViewId="0" topLeftCell="A33">
      <selection activeCell="D69" sqref="D69"/>
    </sheetView>
  </sheetViews>
  <sheetFormatPr defaultColWidth="9.00390625" defaultRowHeight="12"/>
  <cols>
    <col min="1" max="1" width="2.25390625" style="0" customWidth="1"/>
    <col min="2" max="2" width="68.25390625" style="0" bestFit="1" customWidth="1"/>
    <col min="3" max="3" width="7.375" style="0" customWidth="1"/>
    <col min="4" max="4" width="13.625" style="0" customWidth="1"/>
    <col min="5" max="5" width="7.00390625" style="0" customWidth="1"/>
    <col min="6" max="6" width="7.875" style="0" customWidth="1"/>
    <col min="7" max="7" width="13.375" style="0" customWidth="1"/>
    <col min="8" max="8" width="7.25390625" style="0" customWidth="1"/>
    <col min="9" max="9" width="11.125" style="0" customWidth="1"/>
    <col min="10" max="10" width="11.25390625" style="0" customWidth="1"/>
    <col min="12" max="12" width="9.75390625" style="0" customWidth="1"/>
    <col min="13" max="13" width="10.875" style="0" customWidth="1"/>
    <col min="14" max="14" width="21.75390625" style="0" customWidth="1"/>
    <col min="15" max="15" width="21.625" style="0" customWidth="1"/>
    <col min="16" max="16" width="8.875" style="0" customWidth="1"/>
    <col min="17" max="17" width="8.625" style="0" customWidth="1"/>
    <col min="18" max="18" width="11.25390625" style="0" customWidth="1"/>
    <col min="19" max="19" width="7.75390625" style="0" customWidth="1"/>
    <col min="20" max="20" width="10.00390625" style="0" customWidth="1"/>
    <col min="21" max="21" width="7.75390625" style="0" customWidth="1"/>
    <col min="22" max="22" width="10.625" style="0" customWidth="1"/>
    <col min="23" max="24" width="7.375" style="0" customWidth="1"/>
    <col min="25" max="25" width="4.125" style="0" customWidth="1"/>
    <col min="26" max="26" width="2.875" style="0" customWidth="1"/>
    <col min="27" max="27" width="5.00390625" style="0" customWidth="1"/>
    <col min="28" max="28" width="4.00390625" style="0" customWidth="1"/>
    <col min="29" max="29" width="11.00390625" style="0" customWidth="1"/>
    <col min="30" max="30" width="17.00390625" style="0" customWidth="1"/>
    <col min="31" max="31" width="17.125" style="0" customWidth="1"/>
    <col min="32" max="16384" width="11.375" style="0" customWidth="1"/>
  </cols>
  <sheetData>
    <row r="1" spans="1:31" ht="15">
      <c r="A1" s="158" t="s">
        <v>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>
      <c r="A3" s="160" t="s">
        <v>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8:31" ht="14.25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>
      <c r="A5" s="160" t="s">
        <v>60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4.25">
      <c r="A6" s="162" t="s">
        <v>65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"/>
      <c r="S7" s="1"/>
      <c r="T7" s="1"/>
      <c r="U7" s="3"/>
      <c r="V7" s="3"/>
      <c r="W7" s="1"/>
      <c r="X7" s="1"/>
      <c r="Y7" s="1"/>
      <c r="Z7" s="1"/>
      <c r="AA7" s="1"/>
      <c r="AB7" s="1"/>
      <c r="AC7" s="1"/>
      <c r="AD7" s="1"/>
      <c r="AE7" s="1"/>
    </row>
    <row r="8" spans="1:31" ht="14.25">
      <c r="A8" s="4"/>
      <c r="B8" s="5" t="s">
        <v>0</v>
      </c>
      <c r="C8" s="6"/>
      <c r="D8" s="7" t="s">
        <v>1</v>
      </c>
      <c r="E8" s="8"/>
      <c r="F8" s="9"/>
      <c r="G8" s="7" t="s">
        <v>2</v>
      </c>
      <c r="H8" s="10"/>
      <c r="I8" s="11" t="s">
        <v>3</v>
      </c>
      <c r="J8" s="8" t="s">
        <v>34</v>
      </c>
      <c r="K8" s="12" t="s">
        <v>4</v>
      </c>
      <c r="L8" s="12" t="s">
        <v>5</v>
      </c>
      <c r="M8" s="12" t="s">
        <v>35</v>
      </c>
      <c r="N8" s="11" t="s">
        <v>7</v>
      </c>
      <c r="O8" s="10" t="s">
        <v>8</v>
      </c>
      <c r="P8" s="13" t="s">
        <v>31</v>
      </c>
      <c r="Q8" s="14"/>
      <c r="R8" s="1"/>
      <c r="S8" s="1"/>
      <c r="T8" s="3"/>
      <c r="U8" s="3" t="s">
        <v>36</v>
      </c>
      <c r="V8" s="3" t="s">
        <v>53</v>
      </c>
      <c r="W8" s="3" t="s">
        <v>9</v>
      </c>
      <c r="X8" s="3" t="s">
        <v>10</v>
      </c>
      <c r="Y8" s="1"/>
      <c r="Z8" s="1"/>
      <c r="AA8" s="1"/>
      <c r="AB8" s="1"/>
      <c r="AC8" s="1"/>
      <c r="AD8" s="1"/>
      <c r="AE8" s="1"/>
    </row>
    <row r="9" spans="1:31" ht="14.25">
      <c r="A9" s="15"/>
      <c r="B9" s="16"/>
      <c r="C9" s="17" t="s">
        <v>11</v>
      </c>
      <c r="D9" s="18" t="s">
        <v>30</v>
      </c>
      <c r="E9" s="10"/>
      <c r="F9" s="19" t="s">
        <v>11</v>
      </c>
      <c r="G9" s="12" t="s">
        <v>30</v>
      </c>
      <c r="H9" s="10"/>
      <c r="I9" s="20" t="s">
        <v>12</v>
      </c>
      <c r="J9" s="18" t="s">
        <v>32</v>
      </c>
      <c r="K9" s="19" t="s">
        <v>13</v>
      </c>
      <c r="L9" s="19" t="s">
        <v>14</v>
      </c>
      <c r="M9" s="19" t="s">
        <v>14</v>
      </c>
      <c r="N9" s="19" t="s">
        <v>15</v>
      </c>
      <c r="O9" s="20" t="s">
        <v>15</v>
      </c>
      <c r="P9" s="17" t="s">
        <v>14</v>
      </c>
      <c r="Q9" s="17" t="s">
        <v>33</v>
      </c>
      <c r="R9" s="21" t="s">
        <v>16</v>
      </c>
      <c r="S9" s="21" t="s">
        <v>17</v>
      </c>
      <c r="T9" s="21" t="s">
        <v>38</v>
      </c>
      <c r="U9" s="21" t="s">
        <v>37</v>
      </c>
      <c r="V9" s="21" t="s">
        <v>54</v>
      </c>
      <c r="W9" s="21" t="s">
        <v>18</v>
      </c>
      <c r="X9" s="21" t="s">
        <v>18</v>
      </c>
      <c r="Y9" s="1"/>
      <c r="Z9" s="1"/>
      <c r="AA9" s="1"/>
      <c r="AB9" s="1"/>
      <c r="AC9" s="21" t="s">
        <v>19</v>
      </c>
      <c r="AD9" s="21" t="s">
        <v>20</v>
      </c>
      <c r="AE9" s="21" t="s">
        <v>21</v>
      </c>
    </row>
    <row r="10" spans="1:31" ht="14.25">
      <c r="A10" s="22"/>
      <c r="B10" s="23" t="s">
        <v>43</v>
      </c>
      <c r="C10" s="2">
        <v>8</v>
      </c>
      <c r="D10" s="24">
        <v>43</v>
      </c>
      <c r="E10" s="25" t="s">
        <v>22</v>
      </c>
      <c r="F10" s="2">
        <v>167</v>
      </c>
      <c r="G10" s="24">
        <v>44</v>
      </c>
      <c r="H10" s="25" t="s">
        <v>41</v>
      </c>
      <c r="I10" s="40">
        <f aca="true" t="shared" si="0" ref="I10:I16">IF(R10=1,AE10,IF(S10=1,AE10,IF(T10=1,AE10,IF(U10=1,AE10,IF(V10=1,AE10,"")))))</f>
      </c>
      <c r="J10" s="27"/>
      <c r="K10" s="28"/>
      <c r="L10" s="29"/>
      <c r="M10" s="30"/>
      <c r="N10" s="31"/>
      <c r="O10" s="32">
        <v>36480.583333333336</v>
      </c>
      <c r="P10" s="33">
        <v>0</v>
      </c>
      <c r="Q10" s="33">
        <v>0</v>
      </c>
      <c r="R10" s="1">
        <f aca="true" t="shared" si="1" ref="R10:R34">IF(A10="R",1,0)</f>
        <v>0</v>
      </c>
      <c r="S10" s="1">
        <f aca="true" t="shared" si="2" ref="S10:S34">IF(A10="V",1,0)</f>
        <v>0</v>
      </c>
      <c r="T10" s="1">
        <f aca="true" t="shared" si="3" ref="T10:T16">IF(A10="R E",1,0)</f>
        <v>0</v>
      </c>
      <c r="U10" s="1">
        <f aca="true" t="shared" si="4" ref="U10:U16">IF(A10="S",1,0)</f>
        <v>0</v>
      </c>
      <c r="V10" s="1">
        <f aca="true" t="shared" si="5" ref="V10:V34">IF(A10="D",1,0)</f>
        <v>0</v>
      </c>
      <c r="W10" s="34">
        <f aca="true" t="shared" si="6" ref="W10:W34">IF(E10="N",1,-1)</f>
        <v>1</v>
      </c>
      <c r="X10" s="35">
        <f aca="true" t="shared" si="7" ref="X10:X34">IF(H10="W",1,-1)</f>
        <v>-1</v>
      </c>
      <c r="Y10" s="1">
        <f aca="true" t="shared" si="8" ref="Y10:Y34">C10</f>
        <v>8</v>
      </c>
      <c r="Z10" s="1" t="str">
        <f aca="true" t="shared" si="9" ref="Z10:Z34">E10</f>
        <v>N</v>
      </c>
      <c r="AA10" s="1">
        <f aca="true" t="shared" si="10" ref="AA10:AA34">F10</f>
        <v>167</v>
      </c>
      <c r="AB10" s="1">
        <f aca="true" t="shared" si="11" ref="AB10:AB34">IF(R10=1,"R",IF(S10=1,"V",0))</f>
        <v>0</v>
      </c>
      <c r="AC10" s="36">
        <f aca="true" t="shared" si="12" ref="AC10:AC16">IF(R10=1,N10,IF(S10=1,N10,IF(T10=1,N10,IF(U10=1,N10,IF(V10=1,N10,0)))))</f>
        <v>0</v>
      </c>
      <c r="AD10" s="37"/>
      <c r="AE10" s="36">
        <f aca="true" t="shared" si="13" ref="AE10:AE59">(AC10-AD10)/30.5</f>
        <v>0</v>
      </c>
    </row>
    <row r="11" spans="1:31" ht="14.25">
      <c r="A11" s="58" t="s">
        <v>39</v>
      </c>
      <c r="B11" s="49" t="s">
        <v>66</v>
      </c>
      <c r="C11" s="59">
        <v>8</v>
      </c>
      <c r="D11" s="53">
        <v>0</v>
      </c>
      <c r="E11" s="59" t="s">
        <v>22</v>
      </c>
      <c r="F11" s="52">
        <v>165</v>
      </c>
      <c r="G11" s="53">
        <v>0</v>
      </c>
      <c r="H11" s="54" t="s">
        <v>41</v>
      </c>
      <c r="I11" s="26">
        <f t="shared" si="0"/>
        <v>16.403919712601937</v>
      </c>
      <c r="J11" s="55">
        <f>180/PI()*60*ACOS((SIN(PI()/180*W10*(C10+D10/60))*SIN(PI()/180*W11*(C11+D11/60)))+(COS(PI()/180*W10*(C10+D10/60))*COS(PI()/180*W11*(C11+D11/60))*COS(PI()/180*(X11*(F11+G11/60)-X10*(F10+G10/60)))))</f>
        <v>167.85768143257405</v>
      </c>
      <c r="K11" s="56">
        <v>9.5</v>
      </c>
      <c r="L11" s="57">
        <f aca="true" t="shared" si="14" ref="L11:L34">J11/K11</f>
        <v>17.669229624481478</v>
      </c>
      <c r="M11" s="41">
        <f>IF(R11=1,12,IF(S11=1,4,IF(T11=1,6,IF(U11=1,8,IF(V11=1,5,1)))))</f>
        <v>6</v>
      </c>
      <c r="N11" s="42">
        <f aca="true" t="shared" si="15" ref="N11:N28">O10+L11/24</f>
        <v>36481.31955123436</v>
      </c>
      <c r="O11" s="43">
        <f aca="true" t="shared" si="16" ref="O11:O34">N11+M11/24</f>
        <v>36481.56955123436</v>
      </c>
      <c r="P11" s="44">
        <f aca="true" t="shared" si="17" ref="P11:P28">P10+L11+M11</f>
        <v>23.669229624481478</v>
      </c>
      <c r="Q11" s="44">
        <f aca="true" t="shared" si="18" ref="Q11:Q59">P11/24</f>
        <v>0.9862179010200616</v>
      </c>
      <c r="R11" s="1">
        <f t="shared" si="1"/>
        <v>0</v>
      </c>
      <c r="S11" s="1">
        <f t="shared" si="2"/>
        <v>0</v>
      </c>
      <c r="T11" s="37">
        <f>IF(A11="R E",1,0)</f>
        <v>1</v>
      </c>
      <c r="U11" s="1">
        <f t="shared" si="4"/>
        <v>0</v>
      </c>
      <c r="V11" s="1">
        <f t="shared" si="5"/>
        <v>0</v>
      </c>
      <c r="W11" s="34">
        <f t="shared" si="6"/>
        <v>1</v>
      </c>
      <c r="X11" s="35">
        <f t="shared" si="7"/>
        <v>-1</v>
      </c>
      <c r="Y11" s="1">
        <f t="shared" si="8"/>
        <v>8</v>
      </c>
      <c r="Z11" s="1" t="str">
        <f t="shared" si="9"/>
        <v>N</v>
      </c>
      <c r="AA11" s="1">
        <f t="shared" si="10"/>
        <v>165</v>
      </c>
      <c r="AB11" s="1">
        <f t="shared" si="11"/>
        <v>0</v>
      </c>
      <c r="AC11" s="36">
        <f t="shared" si="12"/>
        <v>36481.31955123436</v>
      </c>
      <c r="AD11" s="45">
        <v>35981</v>
      </c>
      <c r="AE11" s="98">
        <f>(AC11-AD11)/30.5</f>
        <v>16.403919712601937</v>
      </c>
    </row>
    <row r="12" spans="1:31" ht="14.25">
      <c r="A12" s="22"/>
      <c r="B12" s="46" t="s">
        <v>25</v>
      </c>
      <c r="C12" s="2">
        <v>7</v>
      </c>
      <c r="D12" s="24">
        <v>0</v>
      </c>
      <c r="E12" s="2" t="s">
        <v>22</v>
      </c>
      <c r="F12" s="64">
        <v>165</v>
      </c>
      <c r="G12" s="39">
        <v>0</v>
      </c>
      <c r="H12" s="65" t="s">
        <v>41</v>
      </c>
      <c r="I12" s="40">
        <f t="shared" si="0"/>
      </c>
      <c r="J12" s="27">
        <f aca="true" t="shared" si="19" ref="J12:J24">180/PI()*60*ACOS((SIN(PI()/180*W11*(C11+D11/60))*SIN(PI()/180*W12*(C12+D12/60)))+(COS(PI()/180*W11*(C11+D11/60))*COS(PI()/180*W12*(C12+D12/60))*COS(PI()/180*(X12*(F12+G12/60)-X11*(F11+G11/60)))))</f>
        <v>60.00000000001535</v>
      </c>
      <c r="K12" s="56">
        <v>9.5</v>
      </c>
      <c r="L12" s="29">
        <f t="shared" si="14"/>
        <v>6.315789473685826</v>
      </c>
      <c r="M12" s="30">
        <f>IF(R12=1,12,IF(S12=1,4,IF(T12=1,6,IF(U12=1,8,IF(V12=1,5,1)))))</f>
        <v>1</v>
      </c>
      <c r="N12" s="47">
        <f t="shared" si="15"/>
        <v>36481.8327091291</v>
      </c>
      <c r="O12" s="32">
        <f t="shared" si="16"/>
        <v>36481.87437579576</v>
      </c>
      <c r="P12" s="44">
        <f t="shared" si="17"/>
        <v>30.985019098167303</v>
      </c>
      <c r="Q12" s="44">
        <f t="shared" si="18"/>
        <v>1.2910424624236376</v>
      </c>
      <c r="R12" s="1">
        <f t="shared" si="1"/>
        <v>0</v>
      </c>
      <c r="S12" s="1">
        <f t="shared" si="2"/>
        <v>0</v>
      </c>
      <c r="T12" s="1">
        <f t="shared" si="3"/>
        <v>0</v>
      </c>
      <c r="U12" s="1">
        <f t="shared" si="4"/>
        <v>0</v>
      </c>
      <c r="V12" s="1">
        <f t="shared" si="5"/>
        <v>0</v>
      </c>
      <c r="W12" s="34">
        <f t="shared" si="6"/>
        <v>1</v>
      </c>
      <c r="X12" s="35">
        <f t="shared" si="7"/>
        <v>-1</v>
      </c>
      <c r="Y12" s="1">
        <f t="shared" si="8"/>
        <v>7</v>
      </c>
      <c r="Z12" s="1" t="str">
        <f t="shared" si="9"/>
        <v>N</v>
      </c>
      <c r="AA12" s="1">
        <f t="shared" si="10"/>
        <v>165</v>
      </c>
      <c r="AB12" s="1">
        <f t="shared" si="11"/>
        <v>0</v>
      </c>
      <c r="AC12" s="36">
        <f t="shared" si="12"/>
        <v>0</v>
      </c>
      <c r="AD12" s="37"/>
      <c r="AE12" s="36">
        <f t="shared" si="13"/>
        <v>0</v>
      </c>
    </row>
    <row r="13" spans="1:31" ht="14.25">
      <c r="A13" s="22"/>
      <c r="B13" s="46" t="s">
        <v>25</v>
      </c>
      <c r="C13" s="2">
        <v>6</v>
      </c>
      <c r="D13" s="24">
        <v>0</v>
      </c>
      <c r="E13" s="2" t="s">
        <v>22</v>
      </c>
      <c r="F13" s="64">
        <v>165</v>
      </c>
      <c r="G13" s="39">
        <v>0</v>
      </c>
      <c r="H13" s="65" t="s">
        <v>41</v>
      </c>
      <c r="I13" s="40">
        <f t="shared" si="0"/>
      </c>
      <c r="J13" s="27">
        <f t="shared" si="19"/>
        <v>60.00000000003748</v>
      </c>
      <c r="K13" s="56">
        <v>9.5</v>
      </c>
      <c r="L13" s="29">
        <f t="shared" si="14"/>
        <v>6.315789473688156</v>
      </c>
      <c r="M13" s="30">
        <f>IF(R13=1,12,IF(S13=1,4,IF(T13=1,6,IF(U13=1,8,IF(V13=1,5,1)))))</f>
        <v>1</v>
      </c>
      <c r="N13" s="47">
        <f t="shared" si="15"/>
        <v>36482.137533690504</v>
      </c>
      <c r="O13" s="32">
        <f t="shared" si="16"/>
        <v>36482.17920035717</v>
      </c>
      <c r="P13" s="44">
        <f t="shared" si="17"/>
        <v>38.300808571855455</v>
      </c>
      <c r="Q13" s="44">
        <f t="shared" si="18"/>
        <v>1.5958670238273107</v>
      </c>
      <c r="R13" s="1">
        <f t="shared" si="1"/>
        <v>0</v>
      </c>
      <c r="S13" s="1">
        <f t="shared" si="2"/>
        <v>0</v>
      </c>
      <c r="T13" s="1">
        <f t="shared" si="3"/>
        <v>0</v>
      </c>
      <c r="U13" s="1">
        <f t="shared" si="4"/>
        <v>0</v>
      </c>
      <c r="V13" s="1">
        <f t="shared" si="5"/>
        <v>0</v>
      </c>
      <c r="W13" s="34">
        <f t="shared" si="6"/>
        <v>1</v>
      </c>
      <c r="X13" s="35">
        <f t="shared" si="7"/>
        <v>-1</v>
      </c>
      <c r="Y13" s="1">
        <f t="shared" si="8"/>
        <v>6</v>
      </c>
      <c r="Z13" s="1" t="str">
        <f t="shared" si="9"/>
        <v>N</v>
      </c>
      <c r="AA13" s="1">
        <f t="shared" si="10"/>
        <v>165</v>
      </c>
      <c r="AB13" s="1">
        <f t="shared" si="11"/>
        <v>0</v>
      </c>
      <c r="AC13" s="36">
        <f t="shared" si="12"/>
        <v>0</v>
      </c>
      <c r="AD13" s="37"/>
      <c r="AE13" s="36">
        <f t="shared" si="13"/>
        <v>0</v>
      </c>
    </row>
    <row r="14" spans="1:31" ht="14.25">
      <c r="A14" s="48" t="s">
        <v>26</v>
      </c>
      <c r="B14" s="49" t="s">
        <v>68</v>
      </c>
      <c r="C14" s="50">
        <v>5</v>
      </c>
      <c r="D14" s="51">
        <v>0</v>
      </c>
      <c r="E14" s="50" t="s">
        <v>22</v>
      </c>
      <c r="F14" s="52">
        <v>165</v>
      </c>
      <c r="G14" s="53">
        <v>0</v>
      </c>
      <c r="H14" s="54" t="s">
        <v>41</v>
      </c>
      <c r="I14" s="26">
        <f t="shared" si="0"/>
        <v>12.473519942685522</v>
      </c>
      <c r="J14" s="60">
        <f t="shared" si="19"/>
        <v>60.00000000001535</v>
      </c>
      <c r="K14" s="56">
        <v>9.5</v>
      </c>
      <c r="L14" s="61">
        <f t="shared" si="14"/>
        <v>6.315789473685826</v>
      </c>
      <c r="M14" s="41">
        <f>IF(R14=1,12,IF(S14=1,4,IF(T14=1,6,IF(U14=1,8,IF(V14=1,5,1)))))</f>
        <v>12</v>
      </c>
      <c r="N14" s="62">
        <f t="shared" si="15"/>
        <v>36482.44235825191</v>
      </c>
      <c r="O14" s="63">
        <f t="shared" si="16"/>
        <v>36482.94235825191</v>
      </c>
      <c r="P14" s="44">
        <f t="shared" si="17"/>
        <v>56.61659804554128</v>
      </c>
      <c r="Q14" s="44">
        <f t="shared" si="18"/>
        <v>2.35902491856422</v>
      </c>
      <c r="R14" s="37">
        <f t="shared" si="1"/>
        <v>1</v>
      </c>
      <c r="S14" s="1">
        <f t="shared" si="2"/>
        <v>0</v>
      </c>
      <c r="T14" s="1">
        <f>IF(A14="R E",1,0)</f>
        <v>0</v>
      </c>
      <c r="U14" s="1">
        <f t="shared" si="4"/>
        <v>0</v>
      </c>
      <c r="V14" s="1">
        <f t="shared" si="5"/>
        <v>0</v>
      </c>
      <c r="W14" s="34">
        <f t="shared" si="6"/>
        <v>1</v>
      </c>
      <c r="X14" s="35">
        <f t="shared" si="7"/>
        <v>-1</v>
      </c>
      <c r="Y14" s="1">
        <f t="shared" si="8"/>
        <v>5</v>
      </c>
      <c r="Z14" s="1" t="str">
        <f t="shared" si="9"/>
        <v>N</v>
      </c>
      <c r="AA14" s="1">
        <f t="shared" si="10"/>
        <v>165</v>
      </c>
      <c r="AB14" s="1" t="str">
        <f t="shared" si="11"/>
        <v>R</v>
      </c>
      <c r="AC14" s="36">
        <f t="shared" si="12"/>
        <v>36482.44235825191</v>
      </c>
      <c r="AD14" s="45">
        <v>36102</v>
      </c>
      <c r="AE14" s="98">
        <f>(AC14-AD14)/30.5</f>
        <v>12.473519942685522</v>
      </c>
    </row>
    <row r="15" spans="1:31" ht="14.25">
      <c r="A15" s="22"/>
      <c r="B15" s="46" t="s">
        <v>25</v>
      </c>
      <c r="C15" s="2">
        <v>4</v>
      </c>
      <c r="D15" s="24">
        <v>0</v>
      </c>
      <c r="E15" s="2" t="s">
        <v>22</v>
      </c>
      <c r="F15" s="64">
        <v>165</v>
      </c>
      <c r="G15" s="39">
        <v>0</v>
      </c>
      <c r="H15" s="65" t="s">
        <v>41</v>
      </c>
      <c r="I15" s="40">
        <f t="shared" si="0"/>
      </c>
      <c r="J15" s="27">
        <f t="shared" si="19"/>
        <v>60.00000000001535</v>
      </c>
      <c r="K15" s="56">
        <v>9.5</v>
      </c>
      <c r="L15" s="29">
        <f t="shared" si="14"/>
        <v>6.315789473685826</v>
      </c>
      <c r="M15" s="30">
        <f aca="true" t="shared" si="20" ref="M15:M27">IF(R15=1,12,IF(S15=1,4,IF(T15=1,6,IF(U15=1,8,IF(V15=1,5,1)))))</f>
        <v>1</v>
      </c>
      <c r="N15" s="47">
        <f t="shared" si="15"/>
        <v>36483.20551614665</v>
      </c>
      <c r="O15" s="32">
        <f t="shared" si="16"/>
        <v>36483.24718281331</v>
      </c>
      <c r="P15" s="44">
        <f t="shared" si="17"/>
        <v>63.932387519227106</v>
      </c>
      <c r="Q15" s="44">
        <f t="shared" si="18"/>
        <v>2.663849479967796</v>
      </c>
      <c r="R15" s="1">
        <f t="shared" si="1"/>
        <v>0</v>
      </c>
      <c r="S15" s="1">
        <f t="shared" si="2"/>
        <v>0</v>
      </c>
      <c r="T15" s="1">
        <f>IF(A15="R E",1,0)</f>
        <v>0</v>
      </c>
      <c r="U15" s="1">
        <f t="shared" si="4"/>
        <v>0</v>
      </c>
      <c r="V15" s="1">
        <f t="shared" si="5"/>
        <v>0</v>
      </c>
      <c r="W15" s="34">
        <f t="shared" si="6"/>
        <v>1</v>
      </c>
      <c r="X15" s="35">
        <f t="shared" si="7"/>
        <v>-1</v>
      </c>
      <c r="Y15" s="1">
        <f t="shared" si="8"/>
        <v>4</v>
      </c>
      <c r="Z15" s="1" t="str">
        <f t="shared" si="9"/>
        <v>N</v>
      </c>
      <c r="AA15" s="1">
        <f t="shared" si="10"/>
        <v>165</v>
      </c>
      <c r="AB15" s="1">
        <f t="shared" si="11"/>
        <v>0</v>
      </c>
      <c r="AC15" s="36">
        <f t="shared" si="12"/>
        <v>0</v>
      </c>
      <c r="AD15" s="37"/>
      <c r="AE15" s="36">
        <f>(AC15-AD15)/30.5</f>
        <v>0</v>
      </c>
    </row>
    <row r="16" spans="1:31" ht="14.25">
      <c r="A16" s="22"/>
      <c r="B16" s="46" t="s">
        <v>25</v>
      </c>
      <c r="C16" s="2">
        <v>3</v>
      </c>
      <c r="D16" s="24">
        <v>0</v>
      </c>
      <c r="E16" s="2" t="s">
        <v>22</v>
      </c>
      <c r="F16" s="64">
        <v>165</v>
      </c>
      <c r="G16" s="39">
        <v>0</v>
      </c>
      <c r="H16" s="65" t="s">
        <v>41</v>
      </c>
      <c r="I16" s="40">
        <f t="shared" si="0"/>
      </c>
      <c r="J16" s="27">
        <f>180/PI()*60*ACOS((SIN(PI()/180*W15*(C15+D15/60))*SIN(PI()/180*W16*(C16+D16/60)))+(COS(PI()/180*W15*(C15+D15/60))*COS(PI()/180*W16*(C16+D16/60))*COS(PI()/180*(X16*(F16+G16/60)-X15*(F15+G15/60)))))</f>
        <v>60.00000000001535</v>
      </c>
      <c r="K16" s="56">
        <v>9.5</v>
      </c>
      <c r="L16" s="29">
        <f t="shared" si="14"/>
        <v>6.315789473685826</v>
      </c>
      <c r="M16" s="30">
        <f t="shared" si="20"/>
        <v>1</v>
      </c>
      <c r="N16" s="47">
        <f t="shared" si="15"/>
        <v>36483.51034070805</v>
      </c>
      <c r="O16" s="32">
        <f t="shared" si="16"/>
        <v>36483.55200737472</v>
      </c>
      <c r="P16" s="44">
        <f t="shared" si="17"/>
        <v>71.24817699291293</v>
      </c>
      <c r="Q16" s="44">
        <f t="shared" si="18"/>
        <v>2.968674041371372</v>
      </c>
      <c r="R16" s="1">
        <f t="shared" si="1"/>
        <v>0</v>
      </c>
      <c r="S16" s="1">
        <f t="shared" si="2"/>
        <v>0</v>
      </c>
      <c r="T16" s="1">
        <f t="shared" si="3"/>
        <v>0</v>
      </c>
      <c r="U16" s="1">
        <f t="shared" si="4"/>
        <v>0</v>
      </c>
      <c r="V16" s="1">
        <f t="shared" si="5"/>
        <v>0</v>
      </c>
      <c r="W16" s="34">
        <f t="shared" si="6"/>
        <v>1</v>
      </c>
      <c r="X16" s="35">
        <f t="shared" si="7"/>
        <v>-1</v>
      </c>
      <c r="Y16" s="1">
        <f t="shared" si="8"/>
        <v>3</v>
      </c>
      <c r="Z16" s="1" t="str">
        <f t="shared" si="9"/>
        <v>N</v>
      </c>
      <c r="AA16" s="1">
        <f t="shared" si="10"/>
        <v>165</v>
      </c>
      <c r="AB16" s="1">
        <f t="shared" si="11"/>
        <v>0</v>
      </c>
      <c r="AC16" s="36">
        <f t="shared" si="12"/>
        <v>0</v>
      </c>
      <c r="AD16" s="37"/>
      <c r="AE16" s="36">
        <f t="shared" si="13"/>
        <v>0</v>
      </c>
    </row>
    <row r="17" spans="1:31" ht="14.25">
      <c r="A17" s="22"/>
      <c r="B17" s="46" t="s">
        <v>25</v>
      </c>
      <c r="C17" s="2">
        <v>2</v>
      </c>
      <c r="D17" s="39">
        <v>30</v>
      </c>
      <c r="E17" s="2" t="s">
        <v>22</v>
      </c>
      <c r="F17" s="64">
        <v>165</v>
      </c>
      <c r="G17" s="39">
        <v>0</v>
      </c>
      <c r="H17" s="65" t="s">
        <v>41</v>
      </c>
      <c r="I17" s="40">
        <f aca="true" t="shared" si="21" ref="I17:I28">IF(R17=1,AE17,IF(S17=1,AE17,IF(T17=1,AE17,IF(U17=1,AE17,IF(V17=1,AE17,"")))))</f>
      </c>
      <c r="J17" s="27">
        <f>180/PI()*60*ACOS((SIN(PI()/180*W16*(C16+D16/60))*SIN(PI()/180*W17*(C17+D17/60)))+(COS(PI()/180*W16*(C16+D16/60))*COS(PI()/180*W17*(C17+D17/60))*COS(PI()/180*(X17*(F17+G17/60)-X16*(F16+G16/60)))))</f>
        <v>29.99999999999126</v>
      </c>
      <c r="K17" s="56">
        <v>9.5</v>
      </c>
      <c r="L17" s="29">
        <f t="shared" si="14"/>
        <v>3.157894736841185</v>
      </c>
      <c r="M17" s="30">
        <f t="shared" si="20"/>
        <v>1</v>
      </c>
      <c r="N17" s="47">
        <f t="shared" si="15"/>
        <v>36483.683586322084</v>
      </c>
      <c r="O17" s="32">
        <f t="shared" si="16"/>
        <v>36483.72525298875</v>
      </c>
      <c r="P17" s="44">
        <f t="shared" si="17"/>
        <v>75.40607172975412</v>
      </c>
      <c r="Q17" s="44">
        <f t="shared" si="18"/>
        <v>3.1419196554064217</v>
      </c>
      <c r="R17" s="1">
        <f t="shared" si="1"/>
        <v>0</v>
      </c>
      <c r="S17" s="1">
        <f t="shared" si="2"/>
        <v>0</v>
      </c>
      <c r="T17" s="1">
        <f aca="true" t="shared" si="22" ref="T17:T28">IF(A17="R E",1,0)</f>
        <v>0</v>
      </c>
      <c r="U17" s="1">
        <f aca="true" t="shared" si="23" ref="U17:U28">IF(A17="S",1,0)</f>
        <v>0</v>
      </c>
      <c r="V17" s="1">
        <f t="shared" si="5"/>
        <v>0</v>
      </c>
      <c r="W17" s="34">
        <f t="shared" si="6"/>
        <v>1</v>
      </c>
      <c r="X17" s="35">
        <f t="shared" si="7"/>
        <v>-1</v>
      </c>
      <c r="Y17" s="1">
        <f t="shared" si="8"/>
        <v>2</v>
      </c>
      <c r="Z17" s="1" t="str">
        <f t="shared" si="9"/>
        <v>N</v>
      </c>
      <c r="AA17" s="1">
        <f t="shared" si="10"/>
        <v>165</v>
      </c>
      <c r="AB17" s="1">
        <f t="shared" si="11"/>
        <v>0</v>
      </c>
      <c r="AC17" s="36">
        <f>IF(R17=1,N17,IF(S17=1,N17,IF(T17=1,N17,IF(U17=1,N17,IF(V17=1,N17,0)))))</f>
        <v>0</v>
      </c>
      <c r="AD17" s="37"/>
      <c r="AE17" s="36">
        <f>(AC17-AD17)/30.5</f>
        <v>0</v>
      </c>
    </row>
    <row r="18" spans="1:31" ht="14.25">
      <c r="A18" s="58" t="s">
        <v>39</v>
      </c>
      <c r="B18" s="49" t="s">
        <v>67</v>
      </c>
      <c r="C18" s="59">
        <v>2</v>
      </c>
      <c r="D18" s="53">
        <v>0</v>
      </c>
      <c r="E18" s="59" t="s">
        <v>22</v>
      </c>
      <c r="F18" s="52">
        <v>165</v>
      </c>
      <c r="G18" s="53">
        <v>0</v>
      </c>
      <c r="H18" s="54" t="s">
        <v>41</v>
      </c>
      <c r="I18" s="26">
        <f t="shared" si="21"/>
        <v>16.421535473315238</v>
      </c>
      <c r="J18" s="60">
        <f>180/PI()*60*ACOS((SIN(PI()/180*W17*(C17+D17/60))*SIN(PI()/180*W18*(C18+D18/60)))+(COS(PI()/180*W17*(C17+D17/60))*COS(PI()/180*W18*(C18+D18/60))*COS(PI()/180*(X18*(F18+G18/60)-X17*(F17+G17/60)))))</f>
        <v>29.99999999994775</v>
      </c>
      <c r="K18" s="56">
        <v>9.5</v>
      </c>
      <c r="L18" s="61">
        <f t="shared" si="14"/>
        <v>3.1578947368366053</v>
      </c>
      <c r="M18" s="41">
        <f>IF(R18=1,12,IF(S18=1,4,IF(T18=1,6,IF(U18=1,8,IF(V18=1,5,1)))))+12</f>
        <v>18</v>
      </c>
      <c r="N18" s="62">
        <f t="shared" si="15"/>
        <v>36483.856831936115</v>
      </c>
      <c r="O18" s="63">
        <f t="shared" si="16"/>
        <v>36484.606831936115</v>
      </c>
      <c r="P18" s="44">
        <f t="shared" si="17"/>
        <v>96.56396646659073</v>
      </c>
      <c r="Q18" s="44">
        <f t="shared" si="18"/>
        <v>4.023498602774613</v>
      </c>
      <c r="R18" s="1">
        <f t="shared" si="1"/>
        <v>0</v>
      </c>
      <c r="S18" s="1">
        <f t="shared" si="2"/>
        <v>0</v>
      </c>
      <c r="T18" s="37">
        <f t="shared" si="22"/>
        <v>1</v>
      </c>
      <c r="U18" s="1">
        <f t="shared" si="23"/>
        <v>0</v>
      </c>
      <c r="V18" s="1">
        <f t="shared" si="5"/>
        <v>0</v>
      </c>
      <c r="W18" s="34">
        <f t="shared" si="6"/>
        <v>1</v>
      </c>
      <c r="X18" s="35">
        <f t="shared" si="7"/>
        <v>-1</v>
      </c>
      <c r="Y18" s="1">
        <f t="shared" si="8"/>
        <v>2</v>
      </c>
      <c r="Z18" s="1" t="str">
        <f t="shared" si="9"/>
        <v>N</v>
      </c>
      <c r="AA18" s="1">
        <f t="shared" si="10"/>
        <v>165</v>
      </c>
      <c r="AB18" s="1">
        <f t="shared" si="11"/>
        <v>0</v>
      </c>
      <c r="AC18" s="36">
        <f>IF(R18=1,N18,IF(S18=1,N18,IF(T18=1,N18,IF(U18=1,N18,IF(V18=1,N18,0)))))</f>
        <v>36483.856831936115</v>
      </c>
      <c r="AD18" s="45">
        <v>35983</v>
      </c>
      <c r="AE18" s="98">
        <f>(AC18-AD18)/30.5</f>
        <v>16.421535473315238</v>
      </c>
    </row>
    <row r="19" spans="1:31" ht="14.25">
      <c r="A19" s="58"/>
      <c r="B19" s="46" t="s">
        <v>25</v>
      </c>
      <c r="C19" s="38">
        <v>1</v>
      </c>
      <c r="D19" s="39">
        <v>30</v>
      </c>
      <c r="E19" s="59" t="s">
        <v>22</v>
      </c>
      <c r="F19" s="64">
        <v>165</v>
      </c>
      <c r="G19" s="39">
        <v>0</v>
      </c>
      <c r="H19" s="65" t="s">
        <v>41</v>
      </c>
      <c r="I19" s="40">
        <f t="shared" si="21"/>
      </c>
      <c r="J19" s="27">
        <f t="shared" si="19"/>
        <v>29.99999999999126</v>
      </c>
      <c r="K19" s="56">
        <v>9.5</v>
      </c>
      <c r="L19" s="29">
        <f t="shared" si="14"/>
        <v>3.157894736841185</v>
      </c>
      <c r="M19" s="30">
        <f t="shared" si="20"/>
        <v>1</v>
      </c>
      <c r="N19" s="47">
        <f t="shared" si="15"/>
        <v>36484.73841088348</v>
      </c>
      <c r="O19" s="32">
        <f t="shared" si="16"/>
        <v>36484.780077550146</v>
      </c>
      <c r="P19" s="44">
        <f t="shared" si="17"/>
        <v>100.72186120343191</v>
      </c>
      <c r="Q19" s="44">
        <f t="shared" si="18"/>
        <v>4.196744216809663</v>
      </c>
      <c r="R19" s="1">
        <f t="shared" si="1"/>
        <v>0</v>
      </c>
      <c r="S19" s="1">
        <f t="shared" si="2"/>
        <v>0</v>
      </c>
      <c r="T19" s="1">
        <f t="shared" si="22"/>
        <v>0</v>
      </c>
      <c r="U19" s="1">
        <f t="shared" si="23"/>
        <v>0</v>
      </c>
      <c r="V19" s="1">
        <f t="shared" si="5"/>
        <v>0</v>
      </c>
      <c r="W19" s="34">
        <f t="shared" si="6"/>
        <v>1</v>
      </c>
      <c r="X19" s="35">
        <f t="shared" si="7"/>
        <v>-1</v>
      </c>
      <c r="Y19" s="1">
        <f t="shared" si="8"/>
        <v>1</v>
      </c>
      <c r="Z19" s="1" t="str">
        <f t="shared" si="9"/>
        <v>N</v>
      </c>
      <c r="AA19" s="1">
        <f t="shared" si="10"/>
        <v>165</v>
      </c>
      <c r="AB19" s="1">
        <f t="shared" si="11"/>
        <v>0</v>
      </c>
      <c r="AC19" s="36">
        <f>IF(R19=1,N19,IF(S19=1,N19,IF(T19=1,N19,IF(U19=1,N19,IF(V19=1,N19,0)))))</f>
        <v>0</v>
      </c>
      <c r="AD19" s="37"/>
      <c r="AE19" s="36">
        <f>(AC19-AD19)/30.5</f>
        <v>0</v>
      </c>
    </row>
    <row r="20" spans="1:31" ht="14.25">
      <c r="A20" s="22"/>
      <c r="B20" s="46" t="s">
        <v>25</v>
      </c>
      <c r="C20" s="2">
        <v>1</v>
      </c>
      <c r="D20" s="24">
        <v>0</v>
      </c>
      <c r="E20" s="2" t="s">
        <v>22</v>
      </c>
      <c r="F20" s="64">
        <v>165</v>
      </c>
      <c r="G20" s="39">
        <v>0</v>
      </c>
      <c r="H20" s="65" t="s">
        <v>41</v>
      </c>
      <c r="I20" s="40">
        <f t="shared" si="21"/>
      </c>
      <c r="J20" s="27">
        <f t="shared" si="19"/>
        <v>29.99999999999126</v>
      </c>
      <c r="K20" s="56">
        <v>9.5</v>
      </c>
      <c r="L20" s="29">
        <f t="shared" si="14"/>
        <v>3.157894736841185</v>
      </c>
      <c r="M20" s="30">
        <f t="shared" si="20"/>
        <v>1</v>
      </c>
      <c r="N20" s="47">
        <f t="shared" si="15"/>
        <v>36484.91165649751</v>
      </c>
      <c r="O20" s="32">
        <f t="shared" si="16"/>
        <v>36484.953323164176</v>
      </c>
      <c r="P20" s="44">
        <f t="shared" si="17"/>
        <v>104.8797559402731</v>
      </c>
      <c r="Q20" s="44">
        <f t="shared" si="18"/>
        <v>4.3699898308447125</v>
      </c>
      <c r="R20" s="1">
        <f t="shared" si="1"/>
        <v>0</v>
      </c>
      <c r="S20" s="1">
        <f t="shared" si="2"/>
        <v>0</v>
      </c>
      <c r="T20" s="1">
        <f t="shared" si="22"/>
        <v>0</v>
      </c>
      <c r="U20" s="1">
        <f t="shared" si="23"/>
        <v>0</v>
      </c>
      <c r="V20" s="1">
        <f t="shared" si="5"/>
        <v>0</v>
      </c>
      <c r="W20" s="34">
        <f t="shared" si="6"/>
        <v>1</v>
      </c>
      <c r="X20" s="35">
        <f t="shared" si="7"/>
        <v>-1</v>
      </c>
      <c r="Y20" s="1">
        <f t="shared" si="8"/>
        <v>1</v>
      </c>
      <c r="Z20" s="1" t="str">
        <f t="shared" si="9"/>
        <v>N</v>
      </c>
      <c r="AA20" s="1">
        <f t="shared" si="10"/>
        <v>165</v>
      </c>
      <c r="AB20" s="1">
        <f t="shared" si="11"/>
        <v>0</v>
      </c>
      <c r="AC20" s="36">
        <f>IF(R20=1,N20,IF(S20=1,N20,IF(T20=1,N20,IF(U20=1,N20,IF(V20=1,N20,0)))))</f>
        <v>0</v>
      </c>
      <c r="AD20" s="37"/>
      <c r="AE20" s="36">
        <f>(AC20-AD20)/30.5</f>
        <v>0</v>
      </c>
    </row>
    <row r="21" spans="1:31" ht="14.25">
      <c r="A21" s="22"/>
      <c r="B21" s="46" t="s">
        <v>25</v>
      </c>
      <c r="C21" s="2">
        <v>0</v>
      </c>
      <c r="D21" s="39">
        <v>30</v>
      </c>
      <c r="E21" s="2" t="s">
        <v>22</v>
      </c>
      <c r="F21" s="64">
        <v>165</v>
      </c>
      <c r="G21" s="39">
        <v>0</v>
      </c>
      <c r="H21" s="65" t="s">
        <v>41</v>
      </c>
      <c r="I21" s="40">
        <f t="shared" si="21"/>
      </c>
      <c r="J21" s="27">
        <f t="shared" si="19"/>
        <v>29.99999999999126</v>
      </c>
      <c r="K21" s="56">
        <v>9.5</v>
      </c>
      <c r="L21" s="29">
        <f t="shared" si="14"/>
        <v>3.157894736841185</v>
      </c>
      <c r="M21" s="30">
        <f t="shared" si="20"/>
        <v>1</v>
      </c>
      <c r="N21" s="47">
        <f t="shared" si="15"/>
        <v>36485.08490211154</v>
      </c>
      <c r="O21" s="32">
        <f t="shared" si="16"/>
        <v>36485.12656877821</v>
      </c>
      <c r="P21" s="44">
        <f t="shared" si="17"/>
        <v>109.03765067711429</v>
      </c>
      <c r="Q21" s="44">
        <f t="shared" si="18"/>
        <v>4.543235444879762</v>
      </c>
      <c r="R21" s="1">
        <f t="shared" si="1"/>
        <v>0</v>
      </c>
      <c r="S21" s="1">
        <f t="shared" si="2"/>
        <v>0</v>
      </c>
      <c r="T21" s="1">
        <f t="shared" si="22"/>
        <v>0</v>
      </c>
      <c r="U21" s="1">
        <f t="shared" si="23"/>
        <v>0</v>
      </c>
      <c r="V21" s="1">
        <f t="shared" si="5"/>
        <v>0</v>
      </c>
      <c r="W21" s="34">
        <f t="shared" si="6"/>
        <v>1</v>
      </c>
      <c r="X21" s="35">
        <f t="shared" si="7"/>
        <v>-1</v>
      </c>
      <c r="Y21" s="1">
        <f t="shared" si="8"/>
        <v>0</v>
      </c>
      <c r="Z21" s="1" t="str">
        <f t="shared" si="9"/>
        <v>N</v>
      </c>
      <c r="AA21" s="1">
        <f t="shared" si="10"/>
        <v>165</v>
      </c>
      <c r="AB21" s="1">
        <f t="shared" si="11"/>
        <v>0</v>
      </c>
      <c r="AC21" s="36">
        <f aca="true" t="shared" si="24" ref="AC21:AC59">IF(R21=1,N21,IF(S21=1,N21,IF(T21=1,N21,IF(U21=1,N21,IF(V21=1,N21,0)))))</f>
        <v>0</v>
      </c>
      <c r="AD21" s="37"/>
      <c r="AE21" s="36">
        <f>(AC21-AD21)/30.5</f>
        <v>0</v>
      </c>
    </row>
    <row r="22" spans="1:31" ht="14.25">
      <c r="A22" s="58" t="s">
        <v>39</v>
      </c>
      <c r="B22" s="49" t="s">
        <v>69</v>
      </c>
      <c r="C22" s="59">
        <v>0</v>
      </c>
      <c r="D22" s="53">
        <v>0</v>
      </c>
      <c r="E22" s="59" t="s">
        <v>27</v>
      </c>
      <c r="F22" s="52">
        <v>165</v>
      </c>
      <c r="G22" s="53">
        <v>0</v>
      </c>
      <c r="H22" s="54" t="s">
        <v>41</v>
      </c>
      <c r="I22" s="26">
        <f t="shared" si="21"/>
        <v>16.43469336805159</v>
      </c>
      <c r="J22" s="60">
        <f t="shared" si="19"/>
        <v>29.99999999999126</v>
      </c>
      <c r="K22" s="56">
        <v>9.5</v>
      </c>
      <c r="L22" s="61">
        <f t="shared" si="14"/>
        <v>3.157894736841185</v>
      </c>
      <c r="M22" s="41">
        <f>IF(R22=1,12,IF(S22=1,4,IF(T22=1,6,IF(U22=1,8,IF(V22=1,5,1)))))</f>
        <v>6</v>
      </c>
      <c r="N22" s="62">
        <f t="shared" si="15"/>
        <v>36485.25814772557</v>
      </c>
      <c r="O22" s="63">
        <f t="shared" si="16"/>
        <v>36485.50814772557</v>
      </c>
      <c r="P22" s="44">
        <f t="shared" si="17"/>
        <v>118.19554541395547</v>
      </c>
      <c r="Q22" s="44">
        <f t="shared" si="18"/>
        <v>4.924814392248145</v>
      </c>
      <c r="R22" s="37">
        <f t="shared" si="1"/>
        <v>0</v>
      </c>
      <c r="S22" s="1">
        <f t="shared" si="2"/>
        <v>0</v>
      </c>
      <c r="T22" s="1">
        <f t="shared" si="22"/>
        <v>1</v>
      </c>
      <c r="U22" s="1">
        <f t="shared" si="23"/>
        <v>0</v>
      </c>
      <c r="V22" s="1">
        <f t="shared" si="5"/>
        <v>0</v>
      </c>
      <c r="W22" s="34">
        <f t="shared" si="6"/>
        <v>-1</v>
      </c>
      <c r="X22" s="35">
        <f t="shared" si="7"/>
        <v>-1</v>
      </c>
      <c r="Y22" s="1">
        <f t="shared" si="8"/>
        <v>0</v>
      </c>
      <c r="Z22" s="1" t="str">
        <f t="shared" si="9"/>
        <v> </v>
      </c>
      <c r="AA22" s="1">
        <f t="shared" si="10"/>
        <v>165</v>
      </c>
      <c r="AB22" s="1">
        <f t="shared" si="11"/>
        <v>0</v>
      </c>
      <c r="AC22" s="36">
        <f t="shared" si="24"/>
        <v>36485.25814772557</v>
      </c>
      <c r="AD22" s="45">
        <v>35984</v>
      </c>
      <c r="AE22" s="98">
        <f t="shared" si="13"/>
        <v>16.43469336805159</v>
      </c>
    </row>
    <row r="23" spans="1:31" ht="14.25">
      <c r="A23" s="48"/>
      <c r="B23" s="49" t="s">
        <v>70</v>
      </c>
      <c r="C23" s="59">
        <v>0</v>
      </c>
      <c r="D23" s="53">
        <v>0</v>
      </c>
      <c r="E23" s="59"/>
      <c r="F23" s="52">
        <v>165</v>
      </c>
      <c r="G23" s="53">
        <v>0</v>
      </c>
      <c r="H23" s="54" t="s">
        <v>41</v>
      </c>
      <c r="I23" s="26"/>
      <c r="J23" s="60">
        <f t="shared" si="19"/>
        <v>0</v>
      </c>
      <c r="K23" s="56">
        <v>9.5</v>
      </c>
      <c r="L23" s="61">
        <f>J23/K23</f>
        <v>0</v>
      </c>
      <c r="M23" s="41">
        <f>IF(R23=1,12,IF(S23=1,4,IF(T23=1,6,IF(U23=1,8,IF(V23=1,5,1)))))+8</f>
        <v>9</v>
      </c>
      <c r="N23" s="62">
        <f>O22+L23/24</f>
        <v>36485.50814772557</v>
      </c>
      <c r="O23" s="63">
        <f>N23+M23/24</f>
        <v>36485.88314772557</v>
      </c>
      <c r="P23" s="44">
        <f>P22+L23+M23</f>
        <v>127.19554541395547</v>
      </c>
      <c r="Q23" s="44">
        <f t="shared" si="18"/>
        <v>5.299814392248145</v>
      </c>
      <c r="R23" s="1">
        <f>IF(A23="R",1,0)</f>
        <v>0</v>
      </c>
      <c r="S23" s="1">
        <f>IF(A23="V",1,0)</f>
        <v>0</v>
      </c>
      <c r="T23" s="1">
        <f>IF(A23="R E",1,0)</f>
        <v>0</v>
      </c>
      <c r="U23" s="1">
        <f>IF(A23="S",1,0)</f>
        <v>0</v>
      </c>
      <c r="V23" s="1">
        <f>IF(A23="D",1,0)</f>
        <v>0</v>
      </c>
      <c r="W23" s="34">
        <f>IF(E23="N",1,-1)</f>
        <v>-1</v>
      </c>
      <c r="X23" s="35">
        <f>IF(H23="W",1,-1)</f>
        <v>-1</v>
      </c>
      <c r="Y23" s="1">
        <f>C23</f>
        <v>0</v>
      </c>
      <c r="Z23" s="1">
        <f>E23</f>
        <v>0</v>
      </c>
      <c r="AA23" s="1">
        <f>F23</f>
        <v>165</v>
      </c>
      <c r="AB23" s="1">
        <f>IF(R23=1,"R",IF(S23=1,"V",0))</f>
        <v>0</v>
      </c>
      <c r="AC23" s="36">
        <f>IF(R23=1,N23,IF(S23=1,N23,IF(T23=1,N23,IF(U23=1,N23,IF(V23=1,N23,0)))))</f>
        <v>0</v>
      </c>
      <c r="AD23" s="45"/>
      <c r="AE23" s="98">
        <f>(AC23-AD23)/30.5</f>
        <v>0</v>
      </c>
    </row>
    <row r="24" spans="1:31" ht="14.25">
      <c r="A24" s="22"/>
      <c r="B24" s="46" t="s">
        <v>25</v>
      </c>
      <c r="C24" s="2">
        <v>0</v>
      </c>
      <c r="D24" s="24">
        <v>30</v>
      </c>
      <c r="E24" s="38" t="s">
        <v>28</v>
      </c>
      <c r="F24" s="64">
        <v>165</v>
      </c>
      <c r="G24" s="39">
        <v>0</v>
      </c>
      <c r="H24" s="65" t="s">
        <v>41</v>
      </c>
      <c r="I24" s="40">
        <f>IF(R24=1,AE24,IF(S24=1,AE24,IF(T24=1,AE24,IF(U24=1,AE24,IF(V24=1,AE24,"")))))</f>
      </c>
      <c r="J24" s="27">
        <f t="shared" si="19"/>
        <v>29.99999999999126</v>
      </c>
      <c r="K24" s="56">
        <v>9.5</v>
      </c>
      <c r="L24" s="29">
        <f>J24/K24</f>
        <v>3.157894736841185</v>
      </c>
      <c r="M24" s="30">
        <f>IF(R24=1,12,IF(S24=1,4,IF(T24=1,6,IF(U24=1,8,IF(V24=1,5,1)))))</f>
        <v>1</v>
      </c>
      <c r="N24" s="47">
        <f>O23+L24/24</f>
        <v>36486.01472667294</v>
      </c>
      <c r="O24" s="32">
        <f>N24+M24/24</f>
        <v>36486.056393339604</v>
      </c>
      <c r="P24" s="44">
        <f>P23+L24+M24</f>
        <v>131.35344015079664</v>
      </c>
      <c r="Q24" s="44">
        <f t="shared" si="18"/>
        <v>5.473060006283194</v>
      </c>
      <c r="R24" s="1">
        <f>IF(A24="R",1,0)</f>
        <v>0</v>
      </c>
      <c r="S24" s="1">
        <f>IF(A24="V",1,0)</f>
        <v>0</v>
      </c>
      <c r="T24" s="1">
        <f>IF(A24="R E",1,0)</f>
        <v>0</v>
      </c>
      <c r="U24" s="1">
        <f>IF(A24="S",1,0)</f>
        <v>0</v>
      </c>
      <c r="V24" s="1">
        <f>IF(A24="D",1,0)</f>
        <v>0</v>
      </c>
      <c r="W24" s="34">
        <f>IF(E24="N",1,-1)</f>
        <v>-1</v>
      </c>
      <c r="X24" s="35">
        <f>IF(H24="W",1,-1)</f>
        <v>-1</v>
      </c>
      <c r="Y24" s="1">
        <f>C24</f>
        <v>0</v>
      </c>
      <c r="Z24" s="1" t="str">
        <f>E24</f>
        <v>S</v>
      </c>
      <c r="AA24" s="1">
        <f>F24</f>
        <v>165</v>
      </c>
      <c r="AB24" s="1">
        <f>IF(R24=1,"R",IF(S24=1,"V",0))</f>
        <v>0</v>
      </c>
      <c r="AC24" s="36">
        <f>IF(R24=1,N24,IF(S24=1,N24,IF(T24=1,N24,IF(U24=1,N24,IF(V24=1,N24,0)))))</f>
        <v>0</v>
      </c>
      <c r="AD24" s="37"/>
      <c r="AE24" s="36">
        <f>(AC24-AD24)/30.5</f>
        <v>0</v>
      </c>
    </row>
    <row r="25" spans="1:31" ht="14.25">
      <c r="A25" s="22"/>
      <c r="B25" s="46" t="s">
        <v>25</v>
      </c>
      <c r="C25" s="2">
        <v>1</v>
      </c>
      <c r="D25" s="24">
        <v>0</v>
      </c>
      <c r="E25" s="38" t="s">
        <v>28</v>
      </c>
      <c r="F25" s="64">
        <v>165</v>
      </c>
      <c r="G25" s="39">
        <v>0</v>
      </c>
      <c r="H25" s="65" t="s">
        <v>41</v>
      </c>
      <c r="I25" s="40">
        <f t="shared" si="21"/>
      </c>
      <c r="J25" s="27">
        <f aca="true" t="shared" si="25" ref="J25:J34">180/PI()*60*ACOS((SIN(PI()/180*W24*(C24+D24/60))*SIN(PI()/180*W25*(C25+D25/60)))+(COS(PI()/180*W24*(C24+D24/60))*COS(PI()/180*W25*(C25+D25/60))*COS(PI()/180*(X25*(F25+G25/60)-X24*(F24+G24/60)))))</f>
        <v>29.99999999999126</v>
      </c>
      <c r="K25" s="56">
        <v>9.5</v>
      </c>
      <c r="L25" s="29">
        <f t="shared" si="14"/>
        <v>3.157894736841185</v>
      </c>
      <c r="M25" s="30">
        <f t="shared" si="20"/>
        <v>1</v>
      </c>
      <c r="N25" s="47">
        <f t="shared" si="15"/>
        <v>36486.18797228697</v>
      </c>
      <c r="O25" s="32">
        <f t="shared" si="16"/>
        <v>36486.229638953635</v>
      </c>
      <c r="P25" s="44">
        <f t="shared" si="17"/>
        <v>135.51133488763782</v>
      </c>
      <c r="Q25" s="44">
        <f t="shared" si="18"/>
        <v>5.646305620318242</v>
      </c>
      <c r="R25" s="1">
        <f t="shared" si="1"/>
        <v>0</v>
      </c>
      <c r="S25" s="1">
        <f t="shared" si="2"/>
        <v>0</v>
      </c>
      <c r="T25" s="1">
        <f t="shared" si="22"/>
        <v>0</v>
      </c>
      <c r="U25" s="1">
        <f t="shared" si="23"/>
        <v>0</v>
      </c>
      <c r="V25" s="1">
        <f t="shared" si="5"/>
        <v>0</v>
      </c>
      <c r="W25" s="34">
        <f t="shared" si="6"/>
        <v>-1</v>
      </c>
      <c r="X25" s="35">
        <f t="shared" si="7"/>
        <v>-1</v>
      </c>
      <c r="Y25" s="1">
        <f t="shared" si="8"/>
        <v>1</v>
      </c>
      <c r="Z25" s="1" t="str">
        <f t="shared" si="9"/>
        <v>S</v>
      </c>
      <c r="AA25" s="1">
        <f t="shared" si="10"/>
        <v>165</v>
      </c>
      <c r="AB25" s="1">
        <f t="shared" si="11"/>
        <v>0</v>
      </c>
      <c r="AC25" s="36">
        <f t="shared" si="24"/>
        <v>0</v>
      </c>
      <c r="AD25" s="37"/>
      <c r="AE25" s="36">
        <f>(AC25-AD25)/30.5</f>
        <v>0</v>
      </c>
    </row>
    <row r="26" spans="1:31" ht="14.25">
      <c r="A26" s="22"/>
      <c r="B26" s="46" t="s">
        <v>25</v>
      </c>
      <c r="C26" s="2">
        <v>1</v>
      </c>
      <c r="D26" s="39">
        <v>30</v>
      </c>
      <c r="E26" s="38" t="s">
        <v>28</v>
      </c>
      <c r="F26" s="64">
        <v>165</v>
      </c>
      <c r="G26" s="39">
        <v>0</v>
      </c>
      <c r="H26" s="65" t="s">
        <v>41</v>
      </c>
      <c r="I26" s="40">
        <f t="shared" si="21"/>
      </c>
      <c r="J26" s="27">
        <f t="shared" si="25"/>
        <v>29.99999999999126</v>
      </c>
      <c r="K26" s="56">
        <v>9.5</v>
      </c>
      <c r="L26" s="29">
        <f t="shared" si="14"/>
        <v>3.157894736841185</v>
      </c>
      <c r="M26" s="30">
        <f t="shared" si="20"/>
        <v>1</v>
      </c>
      <c r="N26" s="47">
        <f t="shared" si="15"/>
        <v>36486.361217901</v>
      </c>
      <c r="O26" s="32">
        <f t="shared" si="16"/>
        <v>36486.402884567666</v>
      </c>
      <c r="P26" s="44">
        <f t="shared" si="17"/>
        <v>139.669229624479</v>
      </c>
      <c r="Q26" s="44">
        <f t="shared" si="18"/>
        <v>5.819551234353291</v>
      </c>
      <c r="R26" s="1">
        <f t="shared" si="1"/>
        <v>0</v>
      </c>
      <c r="S26" s="1">
        <f t="shared" si="2"/>
        <v>0</v>
      </c>
      <c r="T26" s="1">
        <f t="shared" si="22"/>
        <v>0</v>
      </c>
      <c r="U26" s="1">
        <f t="shared" si="23"/>
        <v>0</v>
      </c>
      <c r="V26" s="1">
        <f t="shared" si="5"/>
        <v>0</v>
      </c>
      <c r="W26" s="34">
        <f t="shared" si="6"/>
        <v>-1</v>
      </c>
      <c r="X26" s="35">
        <f t="shared" si="7"/>
        <v>-1</v>
      </c>
      <c r="Y26" s="1">
        <f t="shared" si="8"/>
        <v>1</v>
      </c>
      <c r="Z26" s="1" t="str">
        <f t="shared" si="9"/>
        <v>S</v>
      </c>
      <c r="AA26" s="1">
        <f t="shared" si="10"/>
        <v>165</v>
      </c>
      <c r="AB26" s="1">
        <f t="shared" si="11"/>
        <v>0</v>
      </c>
      <c r="AC26" s="36">
        <f t="shared" si="24"/>
        <v>0</v>
      </c>
      <c r="AD26" s="37"/>
      <c r="AE26" s="36">
        <f>(AC26-AD26)/30.5</f>
        <v>0</v>
      </c>
    </row>
    <row r="27" spans="1:31" ht="14.25">
      <c r="A27" s="48" t="s">
        <v>26</v>
      </c>
      <c r="B27" s="49" t="s">
        <v>71</v>
      </c>
      <c r="C27" s="59">
        <v>2</v>
      </c>
      <c r="D27" s="53">
        <v>0</v>
      </c>
      <c r="E27" s="59" t="s">
        <v>28</v>
      </c>
      <c r="F27" s="52">
        <v>165</v>
      </c>
      <c r="G27" s="53">
        <v>0</v>
      </c>
      <c r="H27" s="54" t="s">
        <v>41</v>
      </c>
      <c r="I27" s="26">
        <f t="shared" si="21"/>
        <v>12.54211355786991</v>
      </c>
      <c r="J27" s="60">
        <f t="shared" si="25"/>
        <v>29.99999999999126</v>
      </c>
      <c r="K27" s="56">
        <v>9.5</v>
      </c>
      <c r="L27" s="61">
        <f t="shared" si="14"/>
        <v>3.157894736841185</v>
      </c>
      <c r="M27" s="41">
        <f>IF(R27=1,12,IF(S27=1,4,IF(T27=1,6,IF(U27=1,8,IF(V27=1,5,1)))))</f>
        <v>12</v>
      </c>
      <c r="N27" s="62">
        <f t="shared" si="15"/>
        <v>36486.53446351503</v>
      </c>
      <c r="O27" s="63">
        <f t="shared" si="16"/>
        <v>36487.03446351503</v>
      </c>
      <c r="P27" s="44">
        <f t="shared" si="17"/>
        <v>154.82712436132016</v>
      </c>
      <c r="Q27" s="44">
        <f t="shared" si="18"/>
        <v>6.451130181721673</v>
      </c>
      <c r="R27" s="1">
        <f t="shared" si="1"/>
        <v>1</v>
      </c>
      <c r="S27" s="1">
        <f t="shared" si="2"/>
        <v>0</v>
      </c>
      <c r="T27" s="37">
        <f t="shared" si="22"/>
        <v>0</v>
      </c>
      <c r="U27" s="1">
        <f t="shared" si="23"/>
        <v>0</v>
      </c>
      <c r="V27" s="1">
        <f t="shared" si="5"/>
        <v>0</v>
      </c>
      <c r="W27" s="34">
        <f t="shared" si="6"/>
        <v>-1</v>
      </c>
      <c r="X27" s="35">
        <f t="shared" si="7"/>
        <v>-1</v>
      </c>
      <c r="Y27" s="1">
        <f t="shared" si="8"/>
        <v>2</v>
      </c>
      <c r="Z27" s="1" t="str">
        <f t="shared" si="9"/>
        <v>S</v>
      </c>
      <c r="AA27" s="1">
        <f t="shared" si="10"/>
        <v>165</v>
      </c>
      <c r="AB27" s="1" t="str">
        <f t="shared" si="11"/>
        <v>R</v>
      </c>
      <c r="AC27" s="36">
        <f t="shared" si="24"/>
        <v>36486.53446351503</v>
      </c>
      <c r="AD27" s="45">
        <v>36104</v>
      </c>
      <c r="AE27" s="98">
        <f t="shared" si="13"/>
        <v>12.54211355786991</v>
      </c>
    </row>
    <row r="28" spans="1:31" ht="14.25">
      <c r="A28" s="48"/>
      <c r="B28" s="46" t="s">
        <v>25</v>
      </c>
      <c r="C28" s="38">
        <v>2</v>
      </c>
      <c r="D28" s="39">
        <v>30</v>
      </c>
      <c r="E28" s="38" t="s">
        <v>28</v>
      </c>
      <c r="F28" s="64">
        <v>165</v>
      </c>
      <c r="G28" s="39">
        <v>0</v>
      </c>
      <c r="H28" s="65" t="s">
        <v>41</v>
      </c>
      <c r="I28" s="40">
        <f t="shared" si="21"/>
      </c>
      <c r="J28" s="27">
        <f t="shared" si="25"/>
        <v>29.99999999994775</v>
      </c>
      <c r="K28" s="56">
        <v>9.5</v>
      </c>
      <c r="L28" s="29">
        <f t="shared" si="14"/>
        <v>3.1578947368366053</v>
      </c>
      <c r="M28" s="30">
        <f aca="true" t="shared" si="26" ref="M28:M33">IF(R28=1,12,IF(S28=1,4,IF(T28=1,6,IF(U28=1,8,IF(V28=1,5,1)))))</f>
        <v>1</v>
      </c>
      <c r="N28" s="47">
        <f t="shared" si="15"/>
        <v>36487.1660424624</v>
      </c>
      <c r="O28" s="32">
        <f t="shared" si="16"/>
        <v>36487.20770912906</v>
      </c>
      <c r="P28" s="44">
        <f t="shared" si="17"/>
        <v>158.98501909815676</v>
      </c>
      <c r="Q28" s="44">
        <f t="shared" si="18"/>
        <v>6.6243757957565315</v>
      </c>
      <c r="R28" s="1">
        <f t="shared" si="1"/>
        <v>0</v>
      </c>
      <c r="S28" s="1">
        <f t="shared" si="2"/>
        <v>0</v>
      </c>
      <c r="T28" s="1">
        <f t="shared" si="22"/>
        <v>0</v>
      </c>
      <c r="U28" s="1">
        <f t="shared" si="23"/>
        <v>0</v>
      </c>
      <c r="V28" s="1">
        <f t="shared" si="5"/>
        <v>0</v>
      </c>
      <c r="W28" s="34">
        <f t="shared" si="6"/>
        <v>-1</v>
      </c>
      <c r="X28" s="35">
        <f t="shared" si="7"/>
        <v>-1</v>
      </c>
      <c r="Y28" s="1">
        <f t="shared" si="8"/>
        <v>2</v>
      </c>
      <c r="Z28" s="1" t="str">
        <f t="shared" si="9"/>
        <v>S</v>
      </c>
      <c r="AA28" s="1">
        <f t="shared" si="10"/>
        <v>165</v>
      </c>
      <c r="AB28" s="1">
        <f t="shared" si="11"/>
        <v>0</v>
      </c>
      <c r="AC28" s="36">
        <f t="shared" si="24"/>
        <v>0</v>
      </c>
      <c r="AD28" s="37"/>
      <c r="AE28" s="36">
        <f>(AC28-AD28)/30.5</f>
        <v>0</v>
      </c>
    </row>
    <row r="29" spans="1:31" ht="14.25">
      <c r="A29" s="22"/>
      <c r="B29" s="46" t="s">
        <v>25</v>
      </c>
      <c r="C29" s="2">
        <v>3</v>
      </c>
      <c r="D29" s="24">
        <v>0</v>
      </c>
      <c r="E29" s="2" t="s">
        <v>28</v>
      </c>
      <c r="F29" s="64">
        <v>165</v>
      </c>
      <c r="G29" s="39">
        <v>0</v>
      </c>
      <c r="H29" s="65" t="s">
        <v>41</v>
      </c>
      <c r="I29" s="40">
        <f aca="true" t="shared" si="27" ref="I29:I34">IF(R29=1,AE29,IF(S29=1,AE29,IF(T29=1,AE29,IF(U29=1,AE29,IF(V29=1,AE29,"")))))</f>
      </c>
      <c r="J29" s="27">
        <f t="shared" si="25"/>
        <v>29.99999999999126</v>
      </c>
      <c r="K29" s="56">
        <v>9.5</v>
      </c>
      <c r="L29" s="29">
        <f>J29/K29</f>
        <v>3.157894736841185</v>
      </c>
      <c r="M29" s="30">
        <f t="shared" si="26"/>
        <v>1</v>
      </c>
      <c r="N29" s="47">
        <f aca="true" t="shared" si="28" ref="N29:N34">O28+L29/24</f>
        <v>36487.33928807643</v>
      </c>
      <c r="O29" s="32">
        <f>N29+M29/24</f>
        <v>36487.380954743094</v>
      </c>
      <c r="P29" s="44">
        <f aca="true" t="shared" si="29" ref="P29:P34">P28+L29+M29</f>
        <v>163.14291383499793</v>
      </c>
      <c r="Q29" s="44">
        <f t="shared" si="18"/>
        <v>6.797621409791581</v>
      </c>
      <c r="R29" s="1">
        <f>IF(A29="R",1,0)</f>
        <v>0</v>
      </c>
      <c r="S29" s="1">
        <f>IF(A29="V",1,0)</f>
        <v>0</v>
      </c>
      <c r="T29" s="1">
        <f>IF(A29="R E",1,0)</f>
        <v>0</v>
      </c>
      <c r="U29" s="1">
        <f aca="true" t="shared" si="30" ref="U29:U34">IF(A29="S",1,0)</f>
        <v>0</v>
      </c>
      <c r="V29" s="1">
        <f>IF(A29="D",1,0)</f>
        <v>0</v>
      </c>
      <c r="W29" s="34">
        <f>IF(E29="N",1,-1)</f>
        <v>-1</v>
      </c>
      <c r="X29" s="35">
        <f>IF(H29="W",1,-1)</f>
        <v>-1</v>
      </c>
      <c r="Y29" s="1">
        <f>C29</f>
        <v>3</v>
      </c>
      <c r="Z29" s="1" t="str">
        <f>E29</f>
        <v>S</v>
      </c>
      <c r="AA29" s="1">
        <f>F29</f>
        <v>165</v>
      </c>
      <c r="AB29" s="1">
        <f>IF(R29=1,"R",IF(S29=1,"V",0))</f>
        <v>0</v>
      </c>
      <c r="AC29" s="36">
        <f>IF(R29=1,N29,IF(S29=1,N29,IF(T29=1,N29,IF(U29=1,N29,IF(V29=1,N29,0)))))</f>
        <v>0</v>
      </c>
      <c r="AD29" s="37"/>
      <c r="AE29" s="36">
        <f t="shared" si="13"/>
        <v>0</v>
      </c>
    </row>
    <row r="30" spans="1:31" ht="14.25">
      <c r="A30" s="22"/>
      <c r="B30" s="46" t="s">
        <v>25</v>
      </c>
      <c r="C30" s="2">
        <v>4</v>
      </c>
      <c r="D30" s="24">
        <v>0</v>
      </c>
      <c r="E30" s="2" t="s">
        <v>28</v>
      </c>
      <c r="F30" s="64">
        <v>165</v>
      </c>
      <c r="G30" s="39">
        <v>0</v>
      </c>
      <c r="H30" s="65" t="s">
        <v>41</v>
      </c>
      <c r="I30" s="40">
        <f t="shared" si="27"/>
      </c>
      <c r="J30" s="27">
        <f t="shared" si="25"/>
        <v>60.00000000001535</v>
      </c>
      <c r="K30" s="56">
        <v>9.5</v>
      </c>
      <c r="L30" s="29">
        <f t="shared" si="14"/>
        <v>6.315789473685826</v>
      </c>
      <c r="M30" s="30">
        <f t="shared" si="26"/>
        <v>1</v>
      </c>
      <c r="N30" s="47">
        <f t="shared" si="28"/>
        <v>36487.644112637834</v>
      </c>
      <c r="O30" s="32">
        <f t="shared" si="16"/>
        <v>36487.6857793045</v>
      </c>
      <c r="P30" s="44">
        <f t="shared" si="29"/>
        <v>170.45870330868377</v>
      </c>
      <c r="Q30" s="44">
        <f t="shared" si="18"/>
        <v>7.102445971195157</v>
      </c>
      <c r="R30" s="1">
        <f t="shared" si="1"/>
        <v>0</v>
      </c>
      <c r="S30" s="1">
        <f t="shared" si="2"/>
        <v>0</v>
      </c>
      <c r="T30" s="1">
        <f aca="true" t="shared" si="31" ref="T30:T59">IF(A30="R E",1,0)</f>
        <v>0</v>
      </c>
      <c r="U30" s="1">
        <f t="shared" si="30"/>
        <v>0</v>
      </c>
      <c r="V30" s="1">
        <f t="shared" si="5"/>
        <v>0</v>
      </c>
      <c r="W30" s="34">
        <f t="shared" si="6"/>
        <v>-1</v>
      </c>
      <c r="X30" s="35">
        <f t="shared" si="7"/>
        <v>-1</v>
      </c>
      <c r="Y30" s="1">
        <f t="shared" si="8"/>
        <v>4</v>
      </c>
      <c r="Z30" s="1" t="str">
        <f t="shared" si="9"/>
        <v>S</v>
      </c>
      <c r="AA30" s="1">
        <f t="shared" si="10"/>
        <v>165</v>
      </c>
      <c r="AB30" s="1">
        <f t="shared" si="11"/>
        <v>0</v>
      </c>
      <c r="AC30" s="36">
        <f t="shared" si="24"/>
        <v>0</v>
      </c>
      <c r="AD30" s="37"/>
      <c r="AE30" s="36">
        <f t="shared" si="13"/>
        <v>0</v>
      </c>
    </row>
    <row r="31" spans="1:31" ht="14.25">
      <c r="A31" s="58" t="s">
        <v>26</v>
      </c>
      <c r="B31" s="49" t="s">
        <v>72</v>
      </c>
      <c r="C31" s="59">
        <v>5</v>
      </c>
      <c r="D31" s="53">
        <v>0</v>
      </c>
      <c r="E31" s="59" t="s">
        <v>28</v>
      </c>
      <c r="F31" s="52">
        <v>165</v>
      </c>
      <c r="G31" s="53">
        <v>0</v>
      </c>
      <c r="H31" s="54" t="s">
        <v>41</v>
      </c>
      <c r="I31" s="26">
        <f t="shared" si="27"/>
        <v>12.522915973745526</v>
      </c>
      <c r="J31" s="60">
        <f t="shared" si="25"/>
        <v>60.00000000001535</v>
      </c>
      <c r="K31" s="56">
        <v>9.5</v>
      </c>
      <c r="L31" s="61">
        <f t="shared" si="14"/>
        <v>6.315789473685826</v>
      </c>
      <c r="M31" s="41">
        <f>IF(R31=1,12,IF(S31=1,4,IF(T31=1,6,IF(U31=1,8,IF(V31=1,5,1)))))+6</f>
        <v>18</v>
      </c>
      <c r="N31" s="62">
        <f t="shared" si="28"/>
        <v>36487.94893719924</v>
      </c>
      <c r="O31" s="63">
        <f t="shared" si="16"/>
        <v>36488.69893719924</v>
      </c>
      <c r="P31" s="44">
        <f t="shared" si="29"/>
        <v>194.7744927823696</v>
      </c>
      <c r="Q31" s="44">
        <f t="shared" si="18"/>
        <v>8.115603865932068</v>
      </c>
      <c r="R31" s="37">
        <f t="shared" si="1"/>
        <v>1</v>
      </c>
      <c r="S31" s="1">
        <f t="shared" si="2"/>
        <v>0</v>
      </c>
      <c r="T31" s="1">
        <f t="shared" si="31"/>
        <v>0</v>
      </c>
      <c r="U31" s="1">
        <f t="shared" si="30"/>
        <v>0</v>
      </c>
      <c r="V31" s="1">
        <f t="shared" si="5"/>
        <v>0</v>
      </c>
      <c r="W31" s="34">
        <f t="shared" si="6"/>
        <v>-1</v>
      </c>
      <c r="X31" s="35">
        <f t="shared" si="7"/>
        <v>-1</v>
      </c>
      <c r="Y31" s="1">
        <f t="shared" si="8"/>
        <v>5</v>
      </c>
      <c r="Z31" s="1" t="str">
        <f t="shared" si="9"/>
        <v>S</v>
      </c>
      <c r="AA31" s="1">
        <f t="shared" si="10"/>
        <v>165</v>
      </c>
      <c r="AB31" s="1" t="str">
        <f t="shared" si="11"/>
        <v>R</v>
      </c>
      <c r="AC31" s="36">
        <f t="shared" si="24"/>
        <v>36487.94893719924</v>
      </c>
      <c r="AD31" s="45">
        <v>36106</v>
      </c>
      <c r="AE31" s="98">
        <f t="shared" si="13"/>
        <v>12.522915973745526</v>
      </c>
    </row>
    <row r="32" spans="1:31" ht="14.25">
      <c r="A32" s="22"/>
      <c r="B32" s="46" t="s">
        <v>25</v>
      </c>
      <c r="C32" s="2">
        <v>6</v>
      </c>
      <c r="D32" s="24">
        <v>0</v>
      </c>
      <c r="E32" s="2" t="s">
        <v>28</v>
      </c>
      <c r="F32" s="64">
        <v>165</v>
      </c>
      <c r="G32" s="39">
        <v>0</v>
      </c>
      <c r="H32" s="65" t="s">
        <v>41</v>
      </c>
      <c r="I32" s="40">
        <f t="shared" si="27"/>
      </c>
      <c r="J32" s="27">
        <f t="shared" si="25"/>
        <v>60.00000000001535</v>
      </c>
      <c r="K32" s="56">
        <v>9.5</v>
      </c>
      <c r="L32" s="29">
        <f t="shared" si="14"/>
        <v>6.315789473685826</v>
      </c>
      <c r="M32" s="30">
        <f t="shared" si="26"/>
        <v>1</v>
      </c>
      <c r="N32" s="47">
        <f t="shared" si="28"/>
        <v>36488.96209509398</v>
      </c>
      <c r="O32" s="32">
        <f t="shared" si="16"/>
        <v>36489.00376176064</v>
      </c>
      <c r="P32" s="44">
        <f t="shared" si="29"/>
        <v>202.09028225605545</v>
      </c>
      <c r="Q32" s="44">
        <f t="shared" si="18"/>
        <v>8.420428427335644</v>
      </c>
      <c r="R32" s="1">
        <f t="shared" si="1"/>
        <v>0</v>
      </c>
      <c r="S32" s="1">
        <f t="shared" si="2"/>
        <v>0</v>
      </c>
      <c r="T32" s="1">
        <f t="shared" si="31"/>
        <v>0</v>
      </c>
      <c r="U32" s="1">
        <f t="shared" si="30"/>
        <v>0</v>
      </c>
      <c r="V32" s="1">
        <f t="shared" si="5"/>
        <v>0</v>
      </c>
      <c r="W32" s="34">
        <f t="shared" si="6"/>
        <v>-1</v>
      </c>
      <c r="X32" s="35">
        <f t="shared" si="7"/>
        <v>-1</v>
      </c>
      <c r="Y32" s="1">
        <f t="shared" si="8"/>
        <v>6</v>
      </c>
      <c r="Z32" s="1" t="str">
        <f t="shared" si="9"/>
        <v>S</v>
      </c>
      <c r="AA32" s="1">
        <f t="shared" si="10"/>
        <v>165</v>
      </c>
      <c r="AB32" s="1">
        <f t="shared" si="11"/>
        <v>0</v>
      </c>
      <c r="AC32" s="36">
        <f t="shared" si="24"/>
        <v>0</v>
      </c>
      <c r="AD32" s="37"/>
      <c r="AE32" s="36">
        <f t="shared" si="13"/>
        <v>0</v>
      </c>
    </row>
    <row r="33" spans="1:31" ht="14.25">
      <c r="A33" s="22"/>
      <c r="B33" s="46" t="s">
        <v>25</v>
      </c>
      <c r="C33" s="2">
        <v>7</v>
      </c>
      <c r="D33" s="24">
        <v>0</v>
      </c>
      <c r="E33" s="2" t="s">
        <v>28</v>
      </c>
      <c r="F33" s="64">
        <v>165</v>
      </c>
      <c r="G33" s="39">
        <v>0</v>
      </c>
      <c r="H33" s="65" t="s">
        <v>41</v>
      </c>
      <c r="I33" s="40">
        <f t="shared" si="27"/>
      </c>
      <c r="J33" s="27">
        <f t="shared" si="25"/>
        <v>60.00000000003748</v>
      </c>
      <c r="K33" s="56">
        <v>9.5</v>
      </c>
      <c r="L33" s="29">
        <f t="shared" si="14"/>
        <v>6.315789473688156</v>
      </c>
      <c r="M33" s="30">
        <f t="shared" si="26"/>
        <v>1</v>
      </c>
      <c r="N33" s="47">
        <f t="shared" si="28"/>
        <v>36489.26691965538</v>
      </c>
      <c r="O33" s="32">
        <f t="shared" si="16"/>
        <v>36489.30858632205</v>
      </c>
      <c r="P33" s="44">
        <f t="shared" si="29"/>
        <v>209.4060717297436</v>
      </c>
      <c r="Q33" s="44">
        <f t="shared" si="18"/>
        <v>8.725252988739316</v>
      </c>
      <c r="R33" s="1">
        <f t="shared" si="1"/>
        <v>0</v>
      </c>
      <c r="S33" s="1">
        <f t="shared" si="2"/>
        <v>0</v>
      </c>
      <c r="T33" s="1">
        <f t="shared" si="31"/>
        <v>0</v>
      </c>
      <c r="U33" s="1">
        <f t="shared" si="30"/>
        <v>0</v>
      </c>
      <c r="V33" s="1">
        <f t="shared" si="5"/>
        <v>0</v>
      </c>
      <c r="W33" s="34">
        <f t="shared" si="6"/>
        <v>-1</v>
      </c>
      <c r="X33" s="35">
        <f t="shared" si="7"/>
        <v>-1</v>
      </c>
      <c r="Y33" s="1">
        <f t="shared" si="8"/>
        <v>7</v>
      </c>
      <c r="Z33" s="1" t="str">
        <f t="shared" si="9"/>
        <v>S</v>
      </c>
      <c r="AA33" s="1">
        <f t="shared" si="10"/>
        <v>165</v>
      </c>
      <c r="AB33" s="1">
        <f t="shared" si="11"/>
        <v>0</v>
      </c>
      <c r="AC33" s="36">
        <f t="shared" si="24"/>
        <v>0</v>
      </c>
      <c r="AD33" s="37"/>
      <c r="AE33" s="36">
        <f t="shared" si="13"/>
        <v>0</v>
      </c>
    </row>
    <row r="34" spans="1:31" ht="14.25">
      <c r="A34" s="58" t="s">
        <v>39</v>
      </c>
      <c r="B34" s="49" t="s">
        <v>73</v>
      </c>
      <c r="C34" s="59">
        <v>8</v>
      </c>
      <c r="D34" s="53">
        <v>0</v>
      </c>
      <c r="E34" s="59" t="s">
        <v>28</v>
      </c>
      <c r="F34" s="52">
        <v>165</v>
      </c>
      <c r="G34" s="53">
        <v>0</v>
      </c>
      <c r="H34" s="54" t="s">
        <v>41</v>
      </c>
      <c r="I34" s="26">
        <f t="shared" si="27"/>
        <v>16.444975220222556</v>
      </c>
      <c r="J34" s="60">
        <f t="shared" si="25"/>
        <v>60.00000000001535</v>
      </c>
      <c r="K34" s="56">
        <v>9.5</v>
      </c>
      <c r="L34" s="61">
        <f t="shared" si="14"/>
        <v>6.315789473685826</v>
      </c>
      <c r="M34" s="41">
        <f>IF(R34=1,12,IF(S34=1,4,IF(T34=1,6,IF(U34=1,8,IF(V34=1,5,1)))))</f>
        <v>6</v>
      </c>
      <c r="N34" s="62">
        <f t="shared" si="28"/>
        <v>36489.57174421679</v>
      </c>
      <c r="O34" s="63">
        <f t="shared" si="16"/>
        <v>36489.82174421679</v>
      </c>
      <c r="P34" s="44">
        <f t="shared" si="29"/>
        <v>221.72186120342943</v>
      </c>
      <c r="Q34" s="44">
        <f t="shared" si="18"/>
        <v>9.238410883476226</v>
      </c>
      <c r="R34" s="1">
        <f t="shared" si="1"/>
        <v>0</v>
      </c>
      <c r="S34" s="1">
        <f t="shared" si="2"/>
        <v>0</v>
      </c>
      <c r="T34" s="37">
        <f t="shared" si="31"/>
        <v>1</v>
      </c>
      <c r="U34" s="1">
        <f t="shared" si="30"/>
        <v>0</v>
      </c>
      <c r="V34" s="1">
        <f t="shared" si="5"/>
        <v>0</v>
      </c>
      <c r="W34" s="34">
        <f t="shared" si="6"/>
        <v>-1</v>
      </c>
      <c r="X34" s="35">
        <f t="shared" si="7"/>
        <v>-1</v>
      </c>
      <c r="Y34" s="1">
        <f t="shared" si="8"/>
        <v>8</v>
      </c>
      <c r="Z34" s="1" t="str">
        <f t="shared" si="9"/>
        <v>S</v>
      </c>
      <c r="AA34" s="1">
        <f t="shared" si="10"/>
        <v>165</v>
      </c>
      <c r="AB34" s="1">
        <f t="shared" si="11"/>
        <v>0</v>
      </c>
      <c r="AC34" s="36">
        <f t="shared" si="24"/>
        <v>36489.57174421679</v>
      </c>
      <c r="AD34" s="45">
        <v>35988</v>
      </c>
      <c r="AE34" s="98">
        <f t="shared" si="13"/>
        <v>16.444975220222556</v>
      </c>
    </row>
    <row r="35" spans="1:31" s="138" customFormat="1" ht="5.25" customHeight="1">
      <c r="A35" s="123"/>
      <c r="B35" s="124"/>
      <c r="C35" s="125"/>
      <c r="D35" s="126"/>
      <c r="E35" s="125"/>
      <c r="F35" s="139"/>
      <c r="G35" s="126"/>
      <c r="H35" s="140"/>
      <c r="I35" s="115"/>
      <c r="J35" s="116"/>
      <c r="K35" s="56">
        <v>9.5</v>
      </c>
      <c r="L35" s="127"/>
      <c r="M35" s="128"/>
      <c r="N35" s="129"/>
      <c r="O35" s="130"/>
      <c r="P35" s="131"/>
      <c r="Q35" s="131"/>
      <c r="R35" s="132"/>
      <c r="S35" s="132"/>
      <c r="T35" s="132"/>
      <c r="U35" s="132"/>
      <c r="V35" s="132"/>
      <c r="W35" s="133"/>
      <c r="X35" s="134"/>
      <c r="Y35" s="132"/>
      <c r="Z35" s="132"/>
      <c r="AA35" s="132"/>
      <c r="AB35" s="132"/>
      <c r="AC35" s="135"/>
      <c r="AD35" s="136"/>
      <c r="AE35" s="137"/>
    </row>
    <row r="36" spans="1:31" ht="14.25">
      <c r="A36" s="58" t="s">
        <v>26</v>
      </c>
      <c r="B36" s="49" t="s">
        <v>74</v>
      </c>
      <c r="C36" s="59">
        <v>8</v>
      </c>
      <c r="D36" s="53">
        <v>0</v>
      </c>
      <c r="E36" s="59" t="s">
        <v>28</v>
      </c>
      <c r="F36" s="52">
        <v>180</v>
      </c>
      <c r="G36" s="53">
        <v>0</v>
      </c>
      <c r="H36" s="54" t="s">
        <v>23</v>
      </c>
      <c r="I36" s="26">
        <f>IF(R36=1,AE36,IF(S36=1,AE36,IF(T36=1,AE36,IF(U36=1,AE36,IF(V36=1,AE36,"")))))</f>
        <v>12.54854030949641</v>
      </c>
      <c r="J36" s="60">
        <f>180/PI()*60*ACOS((SIN(PI()/180*W34*(C34+D34/60))*SIN(PI()/180*W36*(C36+D36/60)))+(COS(PI()/180*W34*(C34+D34/60))*COS(PI()/180*W36*(C36+D36/60))*COS(PI()/180*(X36*(F36+G36/60)-X34*(F34+G34/60)))))</f>
        <v>891.1916308095829</v>
      </c>
      <c r="K36" s="56">
        <v>9.5</v>
      </c>
      <c r="L36" s="61">
        <f>J36/K36</f>
        <v>93.80964534837715</v>
      </c>
      <c r="M36" s="41">
        <f>IF(R36=1,12,IF(S36=1,4,IF(T36=1,6,IF(U36=1,8,IF(V36=1,5,1)))))+6</f>
        <v>18</v>
      </c>
      <c r="N36" s="62">
        <f>O34+L36/24</f>
        <v>36493.73047943964</v>
      </c>
      <c r="O36" s="63">
        <f>N36+M36/24</f>
        <v>36494.48047943964</v>
      </c>
      <c r="P36" s="44">
        <f>P34+L36+M36</f>
        <v>333.53150655180656</v>
      </c>
      <c r="Q36" s="44">
        <f t="shared" si="18"/>
        <v>13.897146106325273</v>
      </c>
      <c r="R36" s="37">
        <f>IF(A36="R",1,0)</f>
        <v>1</v>
      </c>
      <c r="S36" s="1">
        <f>IF(A36="V",1,0)</f>
        <v>0</v>
      </c>
      <c r="T36" s="1">
        <f t="shared" si="31"/>
        <v>0</v>
      </c>
      <c r="U36" s="1">
        <f>IF(A36="S",1,0)</f>
        <v>0</v>
      </c>
      <c r="V36" s="1">
        <f>IF(A36="D",1,0)</f>
        <v>0</v>
      </c>
      <c r="W36" s="34">
        <f>IF(E36="N",1,-1)</f>
        <v>-1</v>
      </c>
      <c r="X36" s="35">
        <f>IF(H36="W",1,-1)</f>
        <v>1</v>
      </c>
      <c r="Y36" s="1">
        <f>C36</f>
        <v>8</v>
      </c>
      <c r="Z36" s="1" t="str">
        <f aca="true" t="shared" si="32" ref="Z36:AA40">E36</f>
        <v>S</v>
      </c>
      <c r="AA36" s="1">
        <f t="shared" si="32"/>
        <v>180</v>
      </c>
      <c r="AB36" s="1" t="str">
        <f>IF(R36=1,"R",IF(S36=1,"V",0))</f>
        <v>R</v>
      </c>
      <c r="AC36" s="36">
        <f t="shared" si="24"/>
        <v>36493.73047943964</v>
      </c>
      <c r="AD36" s="45">
        <v>36111</v>
      </c>
      <c r="AE36" s="98">
        <f t="shared" si="13"/>
        <v>12.54854030949641</v>
      </c>
    </row>
    <row r="37" spans="1:31" ht="14.25">
      <c r="A37" s="22"/>
      <c r="B37" s="46" t="s">
        <v>25</v>
      </c>
      <c r="C37" s="2">
        <v>7</v>
      </c>
      <c r="D37" s="24">
        <v>0</v>
      </c>
      <c r="E37" s="66" t="s">
        <v>28</v>
      </c>
      <c r="F37" s="64">
        <v>180</v>
      </c>
      <c r="G37" s="24">
        <v>0</v>
      </c>
      <c r="H37" s="40" t="s">
        <v>23</v>
      </c>
      <c r="I37" s="40">
        <f>IF(R37=1,AE37,IF(S37=1,AE37,IF(T37=1,AE37,IF(U37=1,AE37,IF(V37=1,AE37,"")))))</f>
      </c>
      <c r="J37" s="27">
        <f aca="true" t="shared" si="33" ref="J37:J42">180/PI()*60*ACOS((SIN(PI()/180*W36*(C36+D36/60))*SIN(PI()/180*W37*(C37+D37/60)))+(COS(PI()/180*W36*(C36+D36/60))*COS(PI()/180*W37*(C37+D37/60))*COS(PI()/180*(X37*(F37+G37/60)-X36*(F36+G36/60)))))</f>
        <v>60.00000000001535</v>
      </c>
      <c r="K37" s="56">
        <v>9.5</v>
      </c>
      <c r="L37" s="29">
        <f>J37/K37</f>
        <v>6.315789473685826</v>
      </c>
      <c r="M37" s="30">
        <f>IF(R37=1,12,IF(S37=1,4,IF(T37=1,6,IF(U37=1,8,IF(V37=1,5,1)))))</f>
        <v>1</v>
      </c>
      <c r="N37" s="47">
        <f>O36+L37/24</f>
        <v>36494.74363733438</v>
      </c>
      <c r="O37" s="32">
        <f>N37+M37/24</f>
        <v>36494.785304001045</v>
      </c>
      <c r="P37" s="44">
        <f>P36+L37+M37</f>
        <v>340.84729602549237</v>
      </c>
      <c r="Q37" s="44">
        <f t="shared" si="18"/>
        <v>14.20197066772885</v>
      </c>
      <c r="R37" s="1">
        <f>IF(A37="R",1,0)</f>
        <v>0</v>
      </c>
      <c r="S37" s="1">
        <f>IF(A37="V",1,0)</f>
        <v>0</v>
      </c>
      <c r="T37" s="1">
        <f t="shared" si="31"/>
        <v>0</v>
      </c>
      <c r="U37" s="1">
        <f>IF(A37="S",1,0)</f>
        <v>0</v>
      </c>
      <c r="V37" s="1">
        <f>IF(A37="D",1,0)</f>
        <v>0</v>
      </c>
      <c r="W37" s="34">
        <f>IF(E37="N",1,-1)</f>
        <v>-1</v>
      </c>
      <c r="X37" s="35">
        <f>IF(H37="W",1,-1)</f>
        <v>1</v>
      </c>
      <c r="Y37" s="1">
        <f>C37</f>
        <v>7</v>
      </c>
      <c r="Z37" s="1" t="str">
        <f t="shared" si="32"/>
        <v>S</v>
      </c>
      <c r="AA37" s="1">
        <f t="shared" si="32"/>
        <v>180</v>
      </c>
      <c r="AB37" s="1">
        <f>IF(R37=1,"R",IF(S37=1,"V",0))</f>
        <v>0</v>
      </c>
      <c r="AC37" s="36">
        <f t="shared" si="24"/>
        <v>0</v>
      </c>
      <c r="AD37" s="37"/>
      <c r="AE37" s="36">
        <f t="shared" si="13"/>
        <v>0</v>
      </c>
    </row>
    <row r="38" spans="1:31" ht="14.25">
      <c r="A38" s="22"/>
      <c r="B38" s="46" t="s">
        <v>25</v>
      </c>
      <c r="C38" s="2">
        <v>6</v>
      </c>
      <c r="D38" s="24">
        <v>0</v>
      </c>
      <c r="E38" s="66" t="s">
        <v>28</v>
      </c>
      <c r="F38" s="64">
        <v>180</v>
      </c>
      <c r="G38" s="24">
        <v>0</v>
      </c>
      <c r="H38" s="40" t="s">
        <v>23</v>
      </c>
      <c r="I38" s="40">
        <f>IF(R38=1,AE38,IF(S38=1,AE38,IF(T38=1,AE38,IF(U38=1,AE38,IF(V38=1,AE38,"")))))</f>
      </c>
      <c r="J38" s="27">
        <f t="shared" si="33"/>
        <v>60.00000000003748</v>
      </c>
      <c r="K38" s="56">
        <v>9.5</v>
      </c>
      <c r="L38" s="29">
        <f>J38/K38</f>
        <v>6.315789473688156</v>
      </c>
      <c r="M38" s="30">
        <f>IF(R38=1,12,IF(S38=1,4,IF(T38=1,6,IF(U38=1,8,IF(V38=1,5,1)))))</f>
        <v>1</v>
      </c>
      <c r="N38" s="47">
        <f>O37+L38/24</f>
        <v>36495.048461895785</v>
      </c>
      <c r="O38" s="32">
        <f>N38+M38/24</f>
        <v>36495.09012856245</v>
      </c>
      <c r="P38" s="44">
        <f>P37+L38+M38</f>
        <v>348.1630854991805</v>
      </c>
      <c r="Q38" s="44">
        <f t="shared" si="18"/>
        <v>14.506795229132521</v>
      </c>
      <c r="R38" s="1">
        <f>IF(A38="R",1,0)</f>
        <v>0</v>
      </c>
      <c r="S38" s="1">
        <f>IF(A38="V",1,0)</f>
        <v>0</v>
      </c>
      <c r="T38" s="1">
        <f t="shared" si="31"/>
        <v>0</v>
      </c>
      <c r="U38" s="1">
        <f>IF(A38="S",1,0)</f>
        <v>0</v>
      </c>
      <c r="V38" s="1">
        <f>IF(A38="D",1,0)</f>
        <v>0</v>
      </c>
      <c r="W38" s="34">
        <f>IF(E38="N",1,-1)</f>
        <v>-1</v>
      </c>
      <c r="X38" s="35">
        <f>IF(H38="W",1,-1)</f>
        <v>1</v>
      </c>
      <c r="Y38" s="1">
        <f>C38</f>
        <v>6</v>
      </c>
      <c r="Z38" s="1" t="str">
        <f t="shared" si="32"/>
        <v>S</v>
      </c>
      <c r="AA38" s="1">
        <f t="shared" si="32"/>
        <v>180</v>
      </c>
      <c r="AB38" s="1">
        <f>IF(R38=1,"R",IF(S38=1,"V",0))</f>
        <v>0</v>
      </c>
      <c r="AC38" s="36">
        <f t="shared" si="24"/>
        <v>0</v>
      </c>
      <c r="AD38" s="37"/>
      <c r="AE38" s="36">
        <f t="shared" si="13"/>
        <v>0</v>
      </c>
    </row>
    <row r="39" spans="1:31" s="122" customFormat="1" ht="14.25">
      <c r="A39" s="48" t="s">
        <v>39</v>
      </c>
      <c r="B39" s="49" t="s">
        <v>75</v>
      </c>
      <c r="C39" s="50">
        <v>5</v>
      </c>
      <c r="D39" s="51">
        <v>0</v>
      </c>
      <c r="E39" s="67" t="s">
        <v>28</v>
      </c>
      <c r="F39" s="149">
        <v>180</v>
      </c>
      <c r="G39" s="51">
        <v>0</v>
      </c>
      <c r="H39" s="26" t="s">
        <v>23</v>
      </c>
      <c r="I39" s="26">
        <f>IF(R39=1,AE39,IF(S39=1,AE39,IF(T39=1,AE39,IF(U39=1,AE39,IF(V39=1,AE39,"")))))</f>
        <v>16.470599555973436</v>
      </c>
      <c r="J39" s="55">
        <f t="shared" si="33"/>
        <v>60.00000000001535</v>
      </c>
      <c r="K39" s="56">
        <v>9.5</v>
      </c>
      <c r="L39" s="57">
        <f>J39/K39</f>
        <v>6.315789473685826</v>
      </c>
      <c r="M39" s="41">
        <f>IF(R39=1,12,IF(S39=1,4,IF(T39=1,6,IF(U39=1,8,IF(V39=1,5,1)))))</f>
        <v>6</v>
      </c>
      <c r="N39" s="42">
        <f>O38+L39/24</f>
        <v>36495.35328645719</v>
      </c>
      <c r="O39" s="43">
        <f>N39+M39/24</f>
        <v>36495.60328645719</v>
      </c>
      <c r="P39" s="44">
        <f>P38+L39+M39</f>
        <v>360.4788749728663</v>
      </c>
      <c r="Q39" s="44">
        <f t="shared" si="18"/>
        <v>15.01995312386943</v>
      </c>
      <c r="R39" s="1">
        <f>IF(A39="R",1,0)</f>
        <v>0</v>
      </c>
      <c r="S39" s="37">
        <f>IF(A39="V",1,0)</f>
        <v>0</v>
      </c>
      <c r="T39" s="1">
        <f t="shared" si="31"/>
        <v>1</v>
      </c>
      <c r="U39" s="1">
        <f>IF(A39="S",1,0)</f>
        <v>0</v>
      </c>
      <c r="V39" s="1">
        <f>IF(A39="D",1,0)</f>
        <v>0</v>
      </c>
      <c r="W39" s="34">
        <f>IF(E39="N",1,-1)</f>
        <v>-1</v>
      </c>
      <c r="X39" s="35">
        <f>IF(H39="W",1,-1)</f>
        <v>1</v>
      </c>
      <c r="Y39" s="1">
        <f>C39</f>
        <v>5</v>
      </c>
      <c r="Z39" s="1" t="str">
        <f t="shared" si="32"/>
        <v>S</v>
      </c>
      <c r="AA39" s="1">
        <f t="shared" si="32"/>
        <v>180</v>
      </c>
      <c r="AB39" s="1">
        <f>IF(R39=1,"R",IF(S39=1,"V",0))</f>
        <v>0</v>
      </c>
      <c r="AC39" s="36">
        <f t="shared" si="24"/>
        <v>36495.35328645719</v>
      </c>
      <c r="AD39" s="45">
        <v>35993</v>
      </c>
      <c r="AE39" s="98">
        <f t="shared" si="13"/>
        <v>16.470599555973436</v>
      </c>
    </row>
    <row r="40" spans="1:31" ht="14.25">
      <c r="A40" s="22"/>
      <c r="B40" s="46" t="s">
        <v>25</v>
      </c>
      <c r="C40" s="2">
        <v>4</v>
      </c>
      <c r="D40" s="24">
        <v>0</v>
      </c>
      <c r="E40" s="66" t="s">
        <v>28</v>
      </c>
      <c r="F40" s="64">
        <v>180</v>
      </c>
      <c r="G40" s="24">
        <v>0</v>
      </c>
      <c r="H40" s="40" t="s">
        <v>23</v>
      </c>
      <c r="I40" s="40">
        <f>IF(R40=1,AE40,IF(S40=1,AE40,IF(T40=1,AE40,IF(U40=1,AE40,IF(V40=1,AE40,"")))))</f>
      </c>
      <c r="J40" s="27">
        <f t="shared" si="33"/>
        <v>60.00000000001535</v>
      </c>
      <c r="K40" s="56">
        <v>9.5</v>
      </c>
      <c r="L40" s="29">
        <f>J40/K40</f>
        <v>6.315789473685826</v>
      </c>
      <c r="M40" s="30">
        <f aca="true" t="shared" si="34" ref="M40:M50">IF(R40=1,12,IF(S40=1,4,IF(T40=1,6,IF(U40=1,8,IF(V40=1,5,1)))))</f>
        <v>1</v>
      </c>
      <c r="N40" s="47">
        <f>O39+L40/24</f>
        <v>36495.86644435193</v>
      </c>
      <c r="O40" s="32">
        <f>N40+M40/24</f>
        <v>36495.908111018594</v>
      </c>
      <c r="P40" s="44">
        <f>P39+L40+M40</f>
        <v>367.79466444655213</v>
      </c>
      <c r="Q40" s="44">
        <f t="shared" si="18"/>
        <v>15.324777685273006</v>
      </c>
      <c r="R40" s="1">
        <f>IF(A40="R",1,0)</f>
        <v>0</v>
      </c>
      <c r="S40" s="1">
        <f>IF(A40="V",1,0)</f>
        <v>0</v>
      </c>
      <c r="T40" s="1">
        <f t="shared" si="31"/>
        <v>0</v>
      </c>
      <c r="U40" s="1">
        <f>IF(A40="S",1,0)</f>
        <v>0</v>
      </c>
      <c r="V40" s="1">
        <f>IF(A40="D",1,0)</f>
        <v>0</v>
      </c>
      <c r="W40" s="34">
        <f>IF(E40="N",1,-1)</f>
        <v>-1</v>
      </c>
      <c r="X40" s="35">
        <f>IF(H40="W",1,-1)</f>
        <v>1</v>
      </c>
      <c r="Y40" s="1">
        <f>C40</f>
        <v>4</v>
      </c>
      <c r="Z40" s="1" t="str">
        <f t="shared" si="32"/>
        <v>S</v>
      </c>
      <c r="AA40" s="1">
        <f t="shared" si="32"/>
        <v>180</v>
      </c>
      <c r="AB40" s="1">
        <f>IF(R40=1,"R",IF(S40=1,"V",0))</f>
        <v>0</v>
      </c>
      <c r="AC40" s="36">
        <f t="shared" si="24"/>
        <v>0</v>
      </c>
      <c r="AD40" s="37"/>
      <c r="AE40" s="36">
        <f t="shared" si="13"/>
        <v>0</v>
      </c>
    </row>
    <row r="41" spans="1:31" ht="14.25">
      <c r="A41" s="22"/>
      <c r="B41" s="46" t="s">
        <v>25</v>
      </c>
      <c r="C41" s="2">
        <v>3</v>
      </c>
      <c r="D41" s="24">
        <v>0</v>
      </c>
      <c r="E41" s="66" t="s">
        <v>28</v>
      </c>
      <c r="F41" s="64">
        <v>180</v>
      </c>
      <c r="G41" s="24">
        <v>0</v>
      </c>
      <c r="H41" s="40" t="s">
        <v>23</v>
      </c>
      <c r="I41" s="40">
        <f aca="true" t="shared" si="35" ref="I41:I51">IF(R41=1,AE41,IF(S41=1,AE41,IF(T41=1,AE41,IF(U41=1,AE41,IF(V41=1,AE41,"")))))</f>
      </c>
      <c r="J41" s="27">
        <f t="shared" si="33"/>
        <v>60.00000000001535</v>
      </c>
      <c r="K41" s="56">
        <v>9.5</v>
      </c>
      <c r="L41" s="29">
        <f aca="true" t="shared" si="36" ref="L41:L50">J41/K41</f>
        <v>6.315789473685826</v>
      </c>
      <c r="M41" s="30">
        <f t="shared" si="34"/>
        <v>1</v>
      </c>
      <c r="N41" s="47">
        <f aca="true" t="shared" si="37" ref="N41:N50">O40+L41/24</f>
        <v>36496.171268913335</v>
      </c>
      <c r="O41" s="32">
        <f aca="true" t="shared" si="38" ref="O41:O50">N41+M41/24</f>
        <v>36496.21293558</v>
      </c>
      <c r="P41" s="44">
        <f aca="true" t="shared" si="39" ref="P41:P50">P40+L41+M41</f>
        <v>375.11045392023794</v>
      </c>
      <c r="Q41" s="44">
        <f t="shared" si="18"/>
        <v>15.629602246676582</v>
      </c>
      <c r="R41" s="1">
        <f aca="true" t="shared" si="40" ref="R41:R50">IF(A41="R",1,0)</f>
        <v>0</v>
      </c>
      <c r="S41" s="1">
        <f aca="true" t="shared" si="41" ref="S41:S50">IF(A41="V",1,0)</f>
        <v>0</v>
      </c>
      <c r="T41" s="1">
        <f aca="true" t="shared" si="42" ref="T41:T50">IF(A41="R E",1,0)</f>
        <v>0</v>
      </c>
      <c r="U41" s="1">
        <f aca="true" t="shared" si="43" ref="U41:U51">IF(A41="S",1,0)</f>
        <v>0</v>
      </c>
      <c r="V41" s="1">
        <f aca="true" t="shared" si="44" ref="V41:V51">IF(A41="D",1,0)</f>
        <v>0</v>
      </c>
      <c r="W41" s="34">
        <f aca="true" t="shared" si="45" ref="W41:W50">IF(E41="N",1,-1)</f>
        <v>-1</v>
      </c>
      <c r="X41" s="35">
        <f aca="true" t="shared" si="46" ref="X41:X50">IF(H41="W",1,-1)</f>
        <v>1</v>
      </c>
      <c r="Y41" s="1">
        <f aca="true" t="shared" si="47" ref="Y41:Y50">C41</f>
        <v>3</v>
      </c>
      <c r="Z41" s="1" t="str">
        <f aca="true" t="shared" si="48" ref="Z41:Z50">E41</f>
        <v>S</v>
      </c>
      <c r="AA41" s="1">
        <f aca="true" t="shared" si="49" ref="AA41:AA50">F41</f>
        <v>180</v>
      </c>
      <c r="AB41" s="1">
        <f aca="true" t="shared" si="50" ref="AB41:AB50">IF(R41=1,"R",IF(S41=1,"V",0))</f>
        <v>0</v>
      </c>
      <c r="AC41" s="36">
        <f aca="true" t="shared" si="51" ref="AC41:AC51">IF(R41=1,N41,IF(S41=1,N41,IF(T41=1,N41,IF(U41=1,N41,IF(V41=1,N41,0)))))</f>
        <v>0</v>
      </c>
      <c r="AD41" s="37"/>
      <c r="AE41" s="36">
        <f aca="true" t="shared" si="52" ref="AE41:AE50">(AC41-AD41)/30.5</f>
        <v>0</v>
      </c>
    </row>
    <row r="42" spans="1:31" ht="14.25">
      <c r="A42" s="22"/>
      <c r="B42" s="46" t="s">
        <v>25</v>
      </c>
      <c r="C42" s="2">
        <v>2</v>
      </c>
      <c r="D42" s="24">
        <v>30</v>
      </c>
      <c r="E42" s="66" t="s">
        <v>28</v>
      </c>
      <c r="F42" s="64">
        <v>180</v>
      </c>
      <c r="G42" s="24">
        <v>0</v>
      </c>
      <c r="H42" s="40" t="s">
        <v>23</v>
      </c>
      <c r="I42" s="40">
        <f t="shared" si="35"/>
      </c>
      <c r="J42" s="27">
        <f t="shared" si="33"/>
        <v>29.99999999999126</v>
      </c>
      <c r="K42" s="56">
        <v>9.5</v>
      </c>
      <c r="L42" s="29">
        <f t="shared" si="36"/>
        <v>3.157894736841185</v>
      </c>
      <c r="M42" s="30">
        <f t="shared" si="34"/>
        <v>1</v>
      </c>
      <c r="N42" s="47">
        <f t="shared" si="37"/>
        <v>36496.344514527365</v>
      </c>
      <c r="O42" s="32">
        <f t="shared" si="38"/>
        <v>36496.38618119403</v>
      </c>
      <c r="P42" s="44">
        <f t="shared" si="39"/>
        <v>379.2683486570791</v>
      </c>
      <c r="Q42" s="44">
        <f t="shared" si="18"/>
        <v>15.80284786071163</v>
      </c>
      <c r="R42" s="1">
        <f t="shared" si="40"/>
        <v>0</v>
      </c>
      <c r="S42" s="1">
        <f t="shared" si="41"/>
        <v>0</v>
      </c>
      <c r="T42" s="1">
        <f t="shared" si="42"/>
        <v>0</v>
      </c>
      <c r="U42" s="1">
        <f t="shared" si="43"/>
        <v>0</v>
      </c>
      <c r="V42" s="1">
        <f t="shared" si="44"/>
        <v>0</v>
      </c>
      <c r="W42" s="34">
        <f t="shared" si="45"/>
        <v>-1</v>
      </c>
      <c r="X42" s="35">
        <f t="shared" si="46"/>
        <v>1</v>
      </c>
      <c r="Y42" s="1">
        <f t="shared" si="47"/>
        <v>2</v>
      </c>
      <c r="Z42" s="1" t="str">
        <f t="shared" si="48"/>
        <v>S</v>
      </c>
      <c r="AA42" s="1">
        <f t="shared" si="49"/>
        <v>180</v>
      </c>
      <c r="AB42" s="1">
        <f t="shared" si="50"/>
        <v>0</v>
      </c>
      <c r="AC42" s="36">
        <f t="shared" si="51"/>
        <v>0</v>
      </c>
      <c r="AD42" s="37"/>
      <c r="AE42" s="36">
        <f t="shared" si="52"/>
        <v>0</v>
      </c>
    </row>
    <row r="43" spans="1:31" ht="14.25">
      <c r="A43" s="48" t="s">
        <v>26</v>
      </c>
      <c r="B43" s="145" t="s">
        <v>76</v>
      </c>
      <c r="C43" s="50">
        <v>2</v>
      </c>
      <c r="D43" s="51">
        <v>0</v>
      </c>
      <c r="E43" s="67" t="s">
        <v>28</v>
      </c>
      <c r="F43" s="52">
        <v>180</v>
      </c>
      <c r="G43" s="51">
        <v>0</v>
      </c>
      <c r="H43" s="26" t="s">
        <v>23</v>
      </c>
      <c r="I43" s="26">
        <f t="shared" si="35"/>
        <v>12.574352791521186</v>
      </c>
      <c r="J43" s="55">
        <f aca="true" t="shared" si="53" ref="J43:J50">180/PI()*60*ACOS((SIN(PI()/180*W42*(C42+D42/60))*SIN(PI()/180*W43*(C43+D43/60)))+(COS(PI()/180*W42*(C42+D42/60))*COS(PI()/180*W43*(C43+D43/60))*COS(PI()/180*(X43*(F43+G43/60)-X42*(F42+G42/60)))))</f>
        <v>29.99999999994775</v>
      </c>
      <c r="K43" s="56">
        <v>9.5</v>
      </c>
      <c r="L43" s="57">
        <f t="shared" si="36"/>
        <v>3.1578947368366053</v>
      </c>
      <c r="M43" s="41">
        <f>IF(R43=1,12,IF(S43=1,4,IF(T43=1,6,IF(U43=1,8,IF(V43=1,5,1)))))</f>
        <v>12</v>
      </c>
      <c r="N43" s="42">
        <f t="shared" si="37"/>
        <v>36496.517760141396</v>
      </c>
      <c r="O43" s="43">
        <f t="shared" si="38"/>
        <v>36497.017760141396</v>
      </c>
      <c r="P43" s="44">
        <f t="shared" si="39"/>
        <v>394.42624339391574</v>
      </c>
      <c r="Q43" s="44">
        <f t="shared" si="18"/>
        <v>16.434426808079824</v>
      </c>
      <c r="R43" s="37">
        <f t="shared" si="40"/>
        <v>1</v>
      </c>
      <c r="S43" s="1">
        <f t="shared" si="41"/>
        <v>0</v>
      </c>
      <c r="T43" s="1">
        <f t="shared" si="42"/>
        <v>0</v>
      </c>
      <c r="U43" s="1">
        <f t="shared" si="43"/>
        <v>0</v>
      </c>
      <c r="V43" s="1">
        <f t="shared" si="44"/>
        <v>0</v>
      </c>
      <c r="W43" s="34">
        <f t="shared" si="45"/>
        <v>-1</v>
      </c>
      <c r="X43" s="35">
        <f t="shared" si="46"/>
        <v>1</v>
      </c>
      <c r="Y43" s="1">
        <f t="shared" si="47"/>
        <v>2</v>
      </c>
      <c r="Z43" s="1" t="str">
        <f t="shared" si="48"/>
        <v>S</v>
      </c>
      <c r="AA43" s="1">
        <f t="shared" si="49"/>
        <v>180</v>
      </c>
      <c r="AB43" s="1" t="str">
        <f t="shared" si="50"/>
        <v>R</v>
      </c>
      <c r="AC43" s="36">
        <f t="shared" si="51"/>
        <v>36496.517760141396</v>
      </c>
      <c r="AD43" s="45">
        <v>36113</v>
      </c>
      <c r="AE43" s="98">
        <f t="shared" si="52"/>
        <v>12.574352791521186</v>
      </c>
    </row>
    <row r="44" spans="1:31" ht="14.25">
      <c r="A44" s="22"/>
      <c r="B44" s="46" t="s">
        <v>25</v>
      </c>
      <c r="C44" s="2">
        <v>1</v>
      </c>
      <c r="D44" s="24">
        <v>30</v>
      </c>
      <c r="E44" s="66" t="s">
        <v>28</v>
      </c>
      <c r="F44" s="64">
        <v>180</v>
      </c>
      <c r="G44" s="24">
        <v>0</v>
      </c>
      <c r="H44" s="40" t="s">
        <v>23</v>
      </c>
      <c r="I44" s="40">
        <f t="shared" si="35"/>
      </c>
      <c r="J44" s="27">
        <f t="shared" si="53"/>
        <v>29.99999999999126</v>
      </c>
      <c r="K44" s="56">
        <v>9.5</v>
      </c>
      <c r="L44" s="29">
        <f t="shared" si="36"/>
        <v>3.157894736841185</v>
      </c>
      <c r="M44" s="30">
        <f t="shared" si="34"/>
        <v>1</v>
      </c>
      <c r="N44" s="47">
        <f t="shared" si="37"/>
        <v>36497.14933908876</v>
      </c>
      <c r="O44" s="32">
        <f t="shared" si="38"/>
        <v>36497.19100575543</v>
      </c>
      <c r="P44" s="44">
        <f t="shared" si="39"/>
        <v>398.5841381307569</v>
      </c>
      <c r="Q44" s="44">
        <f t="shared" si="18"/>
        <v>16.60767242211487</v>
      </c>
      <c r="R44" s="1">
        <f t="shared" si="40"/>
        <v>0</v>
      </c>
      <c r="S44" s="1">
        <f t="shared" si="41"/>
        <v>0</v>
      </c>
      <c r="T44" s="1">
        <f t="shared" si="42"/>
        <v>0</v>
      </c>
      <c r="U44" s="1">
        <f t="shared" si="43"/>
        <v>0</v>
      </c>
      <c r="V44" s="1">
        <f t="shared" si="44"/>
        <v>0</v>
      </c>
      <c r="W44" s="34">
        <f t="shared" si="45"/>
        <v>-1</v>
      </c>
      <c r="X44" s="35">
        <f t="shared" si="46"/>
        <v>1</v>
      </c>
      <c r="Y44" s="1">
        <f t="shared" si="47"/>
        <v>1</v>
      </c>
      <c r="Z44" s="1" t="str">
        <f t="shared" si="48"/>
        <v>S</v>
      </c>
      <c r="AA44" s="1">
        <f t="shared" si="49"/>
        <v>180</v>
      </c>
      <c r="AB44" s="1">
        <f t="shared" si="50"/>
        <v>0</v>
      </c>
      <c r="AC44" s="36">
        <f t="shared" si="51"/>
        <v>0</v>
      </c>
      <c r="AD44" s="37"/>
      <c r="AE44" s="36">
        <f t="shared" si="52"/>
        <v>0</v>
      </c>
    </row>
    <row r="45" spans="1:31" ht="14.25">
      <c r="A45" s="22"/>
      <c r="B45" s="46" t="s">
        <v>25</v>
      </c>
      <c r="C45" s="2">
        <v>1</v>
      </c>
      <c r="D45" s="24">
        <v>0</v>
      </c>
      <c r="E45" s="66" t="s">
        <v>28</v>
      </c>
      <c r="F45" s="64">
        <v>180</v>
      </c>
      <c r="G45" s="24">
        <v>0</v>
      </c>
      <c r="H45" s="40" t="s">
        <v>23</v>
      </c>
      <c r="I45" s="40">
        <f t="shared" si="35"/>
      </c>
      <c r="J45" s="27">
        <f t="shared" si="53"/>
        <v>29.99999999999126</v>
      </c>
      <c r="K45" s="56">
        <v>9.5</v>
      </c>
      <c r="L45" s="29">
        <f t="shared" si="36"/>
        <v>3.157894736841185</v>
      </c>
      <c r="M45" s="30">
        <f t="shared" si="34"/>
        <v>1</v>
      </c>
      <c r="N45" s="47">
        <f t="shared" si="37"/>
        <v>36497.32258470279</v>
      </c>
      <c r="O45" s="32">
        <f t="shared" si="38"/>
        <v>36497.36425136946</v>
      </c>
      <c r="P45" s="44">
        <f t="shared" si="39"/>
        <v>402.7420328675981</v>
      </c>
      <c r="Q45" s="44">
        <f t="shared" si="18"/>
        <v>16.78091803614992</v>
      </c>
      <c r="R45" s="1">
        <f t="shared" si="40"/>
        <v>0</v>
      </c>
      <c r="S45" s="1">
        <f t="shared" si="41"/>
        <v>0</v>
      </c>
      <c r="T45" s="1">
        <f t="shared" si="42"/>
        <v>0</v>
      </c>
      <c r="U45" s="1">
        <f t="shared" si="43"/>
        <v>0</v>
      </c>
      <c r="V45" s="1">
        <f t="shared" si="44"/>
        <v>0</v>
      </c>
      <c r="W45" s="34">
        <f t="shared" si="45"/>
        <v>-1</v>
      </c>
      <c r="X45" s="35">
        <f t="shared" si="46"/>
        <v>1</v>
      </c>
      <c r="Y45" s="1">
        <f t="shared" si="47"/>
        <v>1</v>
      </c>
      <c r="Z45" s="1" t="str">
        <f t="shared" si="48"/>
        <v>S</v>
      </c>
      <c r="AA45" s="1">
        <f t="shared" si="49"/>
        <v>180</v>
      </c>
      <c r="AB45" s="1">
        <f t="shared" si="50"/>
        <v>0</v>
      </c>
      <c r="AC45" s="36">
        <f t="shared" si="51"/>
        <v>0</v>
      </c>
      <c r="AD45" s="37"/>
      <c r="AE45" s="36">
        <f t="shared" si="52"/>
        <v>0</v>
      </c>
    </row>
    <row r="46" spans="1:31" ht="14.25">
      <c r="A46" s="22"/>
      <c r="B46" s="46" t="s">
        <v>25</v>
      </c>
      <c r="C46" s="2">
        <v>0</v>
      </c>
      <c r="D46" s="24">
        <v>30</v>
      </c>
      <c r="E46" s="66" t="s">
        <v>28</v>
      </c>
      <c r="F46" s="64">
        <v>180</v>
      </c>
      <c r="G46" s="24">
        <v>0</v>
      </c>
      <c r="H46" s="40" t="s">
        <v>23</v>
      </c>
      <c r="I46" s="40">
        <f t="shared" si="35"/>
      </c>
      <c r="J46" s="27">
        <f t="shared" si="53"/>
        <v>29.99999999999126</v>
      </c>
      <c r="K46" s="56">
        <v>9.5</v>
      </c>
      <c r="L46" s="29">
        <f t="shared" si="36"/>
        <v>3.157894736841185</v>
      </c>
      <c r="M46" s="30">
        <f t="shared" si="34"/>
        <v>1</v>
      </c>
      <c r="N46" s="47">
        <f t="shared" si="37"/>
        <v>36497.495830316824</v>
      </c>
      <c r="O46" s="32">
        <f t="shared" si="38"/>
        <v>36497.53749698349</v>
      </c>
      <c r="P46" s="44">
        <f t="shared" si="39"/>
        <v>406.89992760443926</v>
      </c>
      <c r="Q46" s="44">
        <f t="shared" si="18"/>
        <v>16.95416365018497</v>
      </c>
      <c r="R46" s="1">
        <f t="shared" si="40"/>
        <v>0</v>
      </c>
      <c r="S46" s="1">
        <f t="shared" si="41"/>
        <v>0</v>
      </c>
      <c r="T46" s="1">
        <f t="shared" si="42"/>
        <v>0</v>
      </c>
      <c r="U46" s="1">
        <f t="shared" si="43"/>
        <v>0</v>
      </c>
      <c r="V46" s="1">
        <f t="shared" si="44"/>
        <v>0</v>
      </c>
      <c r="W46" s="34">
        <f t="shared" si="45"/>
        <v>-1</v>
      </c>
      <c r="X46" s="35">
        <f t="shared" si="46"/>
        <v>1</v>
      </c>
      <c r="Y46" s="1">
        <f t="shared" si="47"/>
        <v>0</v>
      </c>
      <c r="Z46" s="1" t="str">
        <f t="shared" si="48"/>
        <v>S</v>
      </c>
      <c r="AA46" s="1">
        <f t="shared" si="49"/>
        <v>180</v>
      </c>
      <c r="AB46" s="1">
        <f t="shared" si="50"/>
        <v>0</v>
      </c>
      <c r="AC46" s="36">
        <f t="shared" si="51"/>
        <v>0</v>
      </c>
      <c r="AD46" s="37"/>
      <c r="AE46" s="36">
        <f t="shared" si="52"/>
        <v>0</v>
      </c>
    </row>
    <row r="47" spans="1:31" ht="14.25">
      <c r="A47" s="48" t="s">
        <v>26</v>
      </c>
      <c r="B47" s="49" t="s">
        <v>77</v>
      </c>
      <c r="C47" s="59">
        <v>0</v>
      </c>
      <c r="D47" s="53">
        <v>0</v>
      </c>
      <c r="E47" s="68"/>
      <c r="F47" s="52">
        <v>180</v>
      </c>
      <c r="G47" s="53">
        <v>0</v>
      </c>
      <c r="H47" s="69" t="s">
        <v>23</v>
      </c>
      <c r="I47" s="26">
        <f t="shared" si="35"/>
        <v>12.579313964946062</v>
      </c>
      <c r="J47" s="55">
        <f t="shared" si="53"/>
        <v>29.99999999999126</v>
      </c>
      <c r="K47" s="56">
        <v>9.5</v>
      </c>
      <c r="L47" s="57">
        <f t="shared" si="36"/>
        <v>3.157894736841185</v>
      </c>
      <c r="M47" s="41">
        <f>IF(R47=1,12,IF(S47=1,4,IF(T47=1,6,IF(U47=1,8,IF(V47=1,5,1)))))+7</f>
        <v>19</v>
      </c>
      <c r="N47" s="42">
        <f t="shared" si="37"/>
        <v>36497.669075930855</v>
      </c>
      <c r="O47" s="43">
        <f t="shared" si="38"/>
        <v>36498.46074259752</v>
      </c>
      <c r="P47" s="44">
        <f t="shared" si="39"/>
        <v>429.0578223412804</v>
      </c>
      <c r="Q47" s="44">
        <f t="shared" si="18"/>
        <v>17.877409264220017</v>
      </c>
      <c r="R47" s="37">
        <f t="shared" si="40"/>
        <v>1</v>
      </c>
      <c r="S47" s="1">
        <f t="shared" si="41"/>
        <v>0</v>
      </c>
      <c r="T47" s="1">
        <f t="shared" si="42"/>
        <v>0</v>
      </c>
      <c r="U47" s="1">
        <f t="shared" si="43"/>
        <v>0</v>
      </c>
      <c r="V47" s="1">
        <f t="shared" si="44"/>
        <v>0</v>
      </c>
      <c r="W47" s="34">
        <f t="shared" si="45"/>
        <v>-1</v>
      </c>
      <c r="X47" s="35">
        <f t="shared" si="46"/>
        <v>1</v>
      </c>
      <c r="Y47" s="1">
        <f t="shared" si="47"/>
        <v>0</v>
      </c>
      <c r="Z47" s="1">
        <f t="shared" si="48"/>
        <v>0</v>
      </c>
      <c r="AA47" s="1">
        <f t="shared" si="49"/>
        <v>180</v>
      </c>
      <c r="AB47" s="1" t="str">
        <f t="shared" si="50"/>
        <v>R</v>
      </c>
      <c r="AC47" s="36">
        <f t="shared" si="51"/>
        <v>36497.669075930855</v>
      </c>
      <c r="AD47" s="45">
        <v>36114</v>
      </c>
      <c r="AE47" s="98">
        <f t="shared" si="52"/>
        <v>12.579313964946062</v>
      </c>
    </row>
    <row r="48" spans="1:31" ht="14.25">
      <c r="A48" s="22"/>
      <c r="B48" s="46" t="s">
        <v>25</v>
      </c>
      <c r="C48" s="38">
        <v>0</v>
      </c>
      <c r="D48" s="39">
        <v>30</v>
      </c>
      <c r="E48" s="70" t="s">
        <v>22</v>
      </c>
      <c r="F48" s="64">
        <v>180</v>
      </c>
      <c r="G48" s="24">
        <v>0</v>
      </c>
      <c r="H48" s="71" t="s">
        <v>23</v>
      </c>
      <c r="I48" s="40">
        <f t="shared" si="35"/>
      </c>
      <c r="J48" s="27">
        <f t="shared" si="53"/>
        <v>29.99999999999126</v>
      </c>
      <c r="K48" s="56">
        <v>9.5</v>
      </c>
      <c r="L48" s="29">
        <f t="shared" si="36"/>
        <v>3.157894736841185</v>
      </c>
      <c r="M48" s="30">
        <f t="shared" si="34"/>
        <v>1</v>
      </c>
      <c r="N48" s="47">
        <f t="shared" si="37"/>
        <v>36498.592321544886</v>
      </c>
      <c r="O48" s="32">
        <f t="shared" si="38"/>
        <v>36498.63398821155</v>
      </c>
      <c r="P48" s="44">
        <f t="shared" si="39"/>
        <v>433.2157170781216</v>
      </c>
      <c r="Q48" s="44">
        <f t="shared" si="18"/>
        <v>18.050654878255067</v>
      </c>
      <c r="R48" s="1">
        <f t="shared" si="40"/>
        <v>0</v>
      </c>
      <c r="S48" s="1">
        <f t="shared" si="41"/>
        <v>0</v>
      </c>
      <c r="T48" s="1">
        <f t="shared" si="42"/>
        <v>0</v>
      </c>
      <c r="U48" s="1">
        <f t="shared" si="43"/>
        <v>0</v>
      </c>
      <c r="V48" s="1">
        <f t="shared" si="44"/>
        <v>0</v>
      </c>
      <c r="W48" s="34">
        <f t="shared" si="45"/>
        <v>1</v>
      </c>
      <c r="X48" s="35">
        <f t="shared" si="46"/>
        <v>1</v>
      </c>
      <c r="Y48" s="1">
        <f t="shared" si="47"/>
        <v>0</v>
      </c>
      <c r="Z48" s="1" t="str">
        <f t="shared" si="48"/>
        <v>N</v>
      </c>
      <c r="AA48" s="1">
        <f t="shared" si="49"/>
        <v>180</v>
      </c>
      <c r="AB48" s="1">
        <f t="shared" si="50"/>
        <v>0</v>
      </c>
      <c r="AC48" s="36">
        <f t="shared" si="51"/>
        <v>0</v>
      </c>
      <c r="AD48" s="37"/>
      <c r="AE48" s="36">
        <f t="shared" si="52"/>
        <v>0</v>
      </c>
    </row>
    <row r="49" spans="1:31" ht="14.25">
      <c r="A49" s="22"/>
      <c r="B49" s="46" t="s">
        <v>25</v>
      </c>
      <c r="C49" s="2">
        <v>1</v>
      </c>
      <c r="D49" s="24">
        <v>0</v>
      </c>
      <c r="E49" s="66" t="s">
        <v>22</v>
      </c>
      <c r="F49" s="64">
        <v>180</v>
      </c>
      <c r="G49" s="24">
        <v>0</v>
      </c>
      <c r="H49" s="40" t="s">
        <v>23</v>
      </c>
      <c r="I49" s="40">
        <f t="shared" si="35"/>
      </c>
      <c r="J49" s="27">
        <f t="shared" si="53"/>
        <v>29.99999999999126</v>
      </c>
      <c r="K49" s="56">
        <v>9.5</v>
      </c>
      <c r="L49" s="29">
        <f t="shared" si="36"/>
        <v>3.157894736841185</v>
      </c>
      <c r="M49" s="30">
        <f t="shared" si="34"/>
        <v>1</v>
      </c>
      <c r="N49" s="47">
        <f t="shared" si="37"/>
        <v>36498.76556715892</v>
      </c>
      <c r="O49" s="32">
        <f t="shared" si="38"/>
        <v>36498.80723382558</v>
      </c>
      <c r="P49" s="44">
        <f t="shared" si="39"/>
        <v>437.37361181496277</v>
      </c>
      <c r="Q49" s="44">
        <f t="shared" si="18"/>
        <v>18.223900492290117</v>
      </c>
      <c r="R49" s="1">
        <f t="shared" si="40"/>
        <v>0</v>
      </c>
      <c r="S49" s="1">
        <f t="shared" si="41"/>
        <v>0</v>
      </c>
      <c r="T49" s="1">
        <f t="shared" si="42"/>
        <v>0</v>
      </c>
      <c r="U49" s="1">
        <f t="shared" si="43"/>
        <v>0</v>
      </c>
      <c r="V49" s="1">
        <f t="shared" si="44"/>
        <v>0</v>
      </c>
      <c r="W49" s="34">
        <f t="shared" si="45"/>
        <v>1</v>
      </c>
      <c r="X49" s="35">
        <f t="shared" si="46"/>
        <v>1</v>
      </c>
      <c r="Y49" s="1">
        <f t="shared" si="47"/>
        <v>1</v>
      </c>
      <c r="Z49" s="1" t="str">
        <f t="shared" si="48"/>
        <v>N</v>
      </c>
      <c r="AA49" s="1">
        <f t="shared" si="49"/>
        <v>180</v>
      </c>
      <c r="AB49" s="1">
        <f t="shared" si="50"/>
        <v>0</v>
      </c>
      <c r="AC49" s="36">
        <f t="shared" si="51"/>
        <v>0</v>
      </c>
      <c r="AD49" s="37"/>
      <c r="AE49" s="36">
        <f t="shared" si="52"/>
        <v>0</v>
      </c>
    </row>
    <row r="50" spans="1:31" ht="14.25">
      <c r="A50" s="22"/>
      <c r="B50" s="46" t="s">
        <v>25</v>
      </c>
      <c r="C50" s="2">
        <v>1</v>
      </c>
      <c r="D50" s="24">
        <v>30</v>
      </c>
      <c r="E50" s="66" t="s">
        <v>22</v>
      </c>
      <c r="F50" s="64">
        <v>180</v>
      </c>
      <c r="G50" s="24">
        <v>0</v>
      </c>
      <c r="H50" s="40" t="s">
        <v>23</v>
      </c>
      <c r="I50" s="40">
        <f t="shared" si="35"/>
      </c>
      <c r="J50" s="27">
        <f t="shared" si="53"/>
        <v>29.99999999999126</v>
      </c>
      <c r="K50" s="56">
        <v>9.5</v>
      </c>
      <c r="L50" s="29">
        <f t="shared" si="36"/>
        <v>3.157894736841185</v>
      </c>
      <c r="M50" s="30">
        <f t="shared" si="34"/>
        <v>1</v>
      </c>
      <c r="N50" s="47">
        <f t="shared" si="37"/>
        <v>36498.93881277295</v>
      </c>
      <c r="O50" s="32">
        <f t="shared" si="38"/>
        <v>36498.98047943961</v>
      </c>
      <c r="P50" s="44">
        <f t="shared" si="39"/>
        <v>441.53150655180394</v>
      </c>
      <c r="Q50" s="44">
        <f t="shared" si="18"/>
        <v>18.397146106325163</v>
      </c>
      <c r="R50" s="1">
        <f t="shared" si="40"/>
        <v>0</v>
      </c>
      <c r="S50" s="1">
        <f t="shared" si="41"/>
        <v>0</v>
      </c>
      <c r="T50" s="1">
        <f t="shared" si="42"/>
        <v>0</v>
      </c>
      <c r="U50" s="1">
        <f t="shared" si="43"/>
        <v>0</v>
      </c>
      <c r="V50" s="1">
        <f t="shared" si="44"/>
        <v>0</v>
      </c>
      <c r="W50" s="34">
        <f t="shared" si="45"/>
        <v>1</v>
      </c>
      <c r="X50" s="35">
        <f t="shared" si="46"/>
        <v>1</v>
      </c>
      <c r="Y50" s="1">
        <f t="shared" si="47"/>
        <v>1</v>
      </c>
      <c r="Z50" s="1" t="str">
        <f t="shared" si="48"/>
        <v>N</v>
      </c>
      <c r="AA50" s="1">
        <f t="shared" si="49"/>
        <v>180</v>
      </c>
      <c r="AB50" s="1">
        <f t="shared" si="50"/>
        <v>0</v>
      </c>
      <c r="AC50" s="36">
        <f t="shared" si="51"/>
        <v>0</v>
      </c>
      <c r="AD50" s="37"/>
      <c r="AE50" s="36">
        <f t="shared" si="52"/>
        <v>0</v>
      </c>
    </row>
    <row r="51" spans="1:31" s="122" customFormat="1" ht="14.25">
      <c r="A51" s="48" t="s">
        <v>24</v>
      </c>
      <c r="B51" s="49" t="s">
        <v>78</v>
      </c>
      <c r="C51" s="59">
        <v>2</v>
      </c>
      <c r="D51" s="53">
        <v>0</v>
      </c>
      <c r="E51" s="68" t="s">
        <v>22</v>
      </c>
      <c r="F51" s="52">
        <v>180</v>
      </c>
      <c r="G51" s="53">
        <v>0</v>
      </c>
      <c r="H51" s="69" t="s">
        <v>23</v>
      </c>
      <c r="I51" s="26">
        <f t="shared" si="35"/>
        <v>16.495477324163208</v>
      </c>
      <c r="J51" s="60">
        <f aca="true" t="shared" si="54" ref="J51:J57">180/PI()*60*ACOS((SIN(PI()/180*W50*(C50+D50/60))*SIN(PI()/180*W51*(C51+D51/60)))+(COS(PI()/180*W50*(C50+D50/60))*COS(PI()/180*W51*(C51+D51/60))*COS(PI()/180*(X51*(F51+G51/60)-X50*(F50+G50/60)))))</f>
        <v>29.99999999999126</v>
      </c>
      <c r="K51" s="56">
        <v>9.5</v>
      </c>
      <c r="L51" s="61">
        <f aca="true" t="shared" si="55" ref="L51:L58">J51/K51</f>
        <v>3.157894736841185</v>
      </c>
      <c r="M51" s="41">
        <f>IF(R51=1,12,IF(S51=1,4,IF(T51=1,6,IF(U51=1,8,IF(V51=1,5,1)))))</f>
        <v>4</v>
      </c>
      <c r="N51" s="62">
        <f aca="true" t="shared" si="56" ref="N51:N57">O50+L51/24</f>
        <v>36499.11205838698</v>
      </c>
      <c r="O51" s="63">
        <f aca="true" t="shared" si="57" ref="O51:O58">N51+M51/24</f>
        <v>36499.27872505364</v>
      </c>
      <c r="P51" s="44">
        <f aca="true" t="shared" si="58" ref="P51:P57">P50+L51+M51</f>
        <v>448.6894012886451</v>
      </c>
      <c r="Q51" s="44">
        <f t="shared" si="18"/>
        <v>18.695391720360213</v>
      </c>
      <c r="R51" s="1">
        <f aca="true" t="shared" si="59" ref="R51:R59">IF(A51="R",1,0)</f>
        <v>0</v>
      </c>
      <c r="S51" s="37">
        <f aca="true" t="shared" si="60" ref="S51:S59">IF(A51="V",1,0)</f>
        <v>1</v>
      </c>
      <c r="T51" s="1">
        <f>IF(A51="R E",1,0)</f>
        <v>0</v>
      </c>
      <c r="U51" s="1">
        <f t="shared" si="43"/>
        <v>0</v>
      </c>
      <c r="V51" s="1">
        <f t="shared" si="44"/>
        <v>0</v>
      </c>
      <c r="W51" s="34">
        <f aca="true" t="shared" si="61" ref="W51:W59">IF(E51="N",1,-1)</f>
        <v>1</v>
      </c>
      <c r="X51" s="35">
        <f aca="true" t="shared" si="62" ref="X51:X59">IF(H51="W",1,-1)</f>
        <v>1</v>
      </c>
      <c r="Y51" s="1">
        <f aca="true" t="shared" si="63" ref="Y51:Y59">C51</f>
        <v>2</v>
      </c>
      <c r="Z51" s="1" t="str">
        <f aca="true" t="shared" si="64" ref="Z51:Z59">E51</f>
        <v>N</v>
      </c>
      <c r="AA51" s="1">
        <f aca="true" t="shared" si="65" ref="AA51:AA59">F51</f>
        <v>180</v>
      </c>
      <c r="AB51" s="1" t="str">
        <f aca="true" t="shared" si="66" ref="AB51:AB59">IF(R51=1,"R",IF(S51=1,"V",0))</f>
        <v>V</v>
      </c>
      <c r="AC51" s="36">
        <f t="shared" si="51"/>
        <v>36499.11205838698</v>
      </c>
      <c r="AD51" s="45">
        <v>35996</v>
      </c>
      <c r="AE51" s="98">
        <f t="shared" si="13"/>
        <v>16.495477324163208</v>
      </c>
    </row>
    <row r="52" spans="1:36" s="122" customFormat="1" ht="14.25">
      <c r="A52" s="22"/>
      <c r="B52" s="46" t="s">
        <v>25</v>
      </c>
      <c r="C52" s="38">
        <v>2</v>
      </c>
      <c r="D52" s="39">
        <v>30</v>
      </c>
      <c r="E52" s="70" t="s">
        <v>22</v>
      </c>
      <c r="F52" s="64">
        <v>180</v>
      </c>
      <c r="G52" s="39">
        <v>0</v>
      </c>
      <c r="H52" s="71" t="s">
        <v>23</v>
      </c>
      <c r="I52" s="40">
        <f aca="true" t="shared" si="67" ref="I52:I59">IF(R52=1,AE52,IF(S52=1,AE52,IF(T52=1,AE52,IF(U52=1,AE52,IF(V52=1,AE52,"")))))</f>
      </c>
      <c r="J52" s="27">
        <f t="shared" si="54"/>
        <v>29.99999999994775</v>
      </c>
      <c r="K52" s="56">
        <v>9.5</v>
      </c>
      <c r="L52" s="29">
        <f t="shared" si="55"/>
        <v>3.1578947368366053</v>
      </c>
      <c r="M52" s="30">
        <f aca="true" t="shared" si="68" ref="M52:M57">IF(R52=1,12,IF(S52=1,4,IF(T52=1,6,IF(U52=1,8,IF(V52=1,5,1)))))</f>
        <v>1</v>
      </c>
      <c r="N52" s="47">
        <f t="shared" si="56"/>
        <v>36499.41030400101</v>
      </c>
      <c r="O52" s="32">
        <f t="shared" si="57"/>
        <v>36499.45197066767</v>
      </c>
      <c r="P52" s="44">
        <f t="shared" si="58"/>
        <v>452.84729602548174</v>
      </c>
      <c r="Q52" s="44">
        <f t="shared" si="18"/>
        <v>18.86863733439507</v>
      </c>
      <c r="R52" s="1">
        <f t="shared" si="59"/>
        <v>0</v>
      </c>
      <c r="S52" s="1">
        <f t="shared" si="60"/>
        <v>0</v>
      </c>
      <c r="T52" s="1">
        <f>IF(A52="R E",1,0)</f>
        <v>0</v>
      </c>
      <c r="U52" s="1">
        <f aca="true" t="shared" si="69" ref="U52:U59">IF(A52="S",1,0)</f>
        <v>0</v>
      </c>
      <c r="V52" s="1">
        <f aca="true" t="shared" si="70" ref="V52:V59">IF(A52="D",1,0)</f>
        <v>0</v>
      </c>
      <c r="W52" s="34">
        <f t="shared" si="61"/>
        <v>1</v>
      </c>
      <c r="X52" s="35">
        <f t="shared" si="62"/>
        <v>1</v>
      </c>
      <c r="Y52" s="1">
        <f t="shared" si="63"/>
        <v>2</v>
      </c>
      <c r="Z52" s="1" t="str">
        <f t="shared" si="64"/>
        <v>N</v>
      </c>
      <c r="AA52" s="1">
        <f t="shared" si="65"/>
        <v>180</v>
      </c>
      <c r="AB52" s="1">
        <f t="shared" si="66"/>
        <v>0</v>
      </c>
      <c r="AC52" s="36">
        <f>IF(R52=1,N52,IF(S52=1,N52,IF(T52=1,N52,IF(U52=1,N52,IF(V52=1,N52,0)))))</f>
        <v>0</v>
      </c>
      <c r="AD52" s="37"/>
      <c r="AE52" s="36">
        <f t="shared" si="13"/>
        <v>0</v>
      </c>
      <c r="AF52"/>
      <c r="AG52"/>
      <c r="AH52"/>
      <c r="AI52"/>
      <c r="AJ52"/>
    </row>
    <row r="53" spans="1:31" ht="14.25">
      <c r="A53" s="22"/>
      <c r="B53" s="46" t="s">
        <v>25</v>
      </c>
      <c r="C53" s="2">
        <v>3</v>
      </c>
      <c r="D53" s="24">
        <v>0</v>
      </c>
      <c r="E53" s="66" t="s">
        <v>22</v>
      </c>
      <c r="F53" s="64">
        <v>180</v>
      </c>
      <c r="G53" s="24">
        <v>0</v>
      </c>
      <c r="H53" s="40" t="s">
        <v>23</v>
      </c>
      <c r="I53" s="40">
        <f t="shared" si="67"/>
      </c>
      <c r="J53" s="27">
        <f>180/PI()*60*ACOS((SIN(PI()/180*W52*(C52+D52/60))*SIN(PI()/180*W53*(C53+D53/60)))+(COS(PI()/180*W52*(C52+D52/60))*COS(PI()/180*W53*(C53+D53/60))*COS(PI()/180*(X53*(F53+G53/60)-X52*(F52+G52/60)))))</f>
        <v>29.99999999999126</v>
      </c>
      <c r="K53" s="56">
        <v>9.5</v>
      </c>
      <c r="L53" s="29">
        <f t="shared" si="55"/>
        <v>3.157894736841185</v>
      </c>
      <c r="M53" s="30">
        <f t="shared" si="68"/>
        <v>1</v>
      </c>
      <c r="N53" s="47">
        <f t="shared" si="56"/>
        <v>36499.58354961504</v>
      </c>
      <c r="O53" s="32">
        <f t="shared" si="57"/>
        <v>36499.6252162817</v>
      </c>
      <c r="P53" s="44">
        <f t="shared" si="58"/>
        <v>457.0051907623229</v>
      </c>
      <c r="Q53" s="44">
        <f t="shared" si="18"/>
        <v>19.04188294843012</v>
      </c>
      <c r="R53" s="1">
        <f t="shared" si="59"/>
        <v>0</v>
      </c>
      <c r="S53" s="1">
        <f t="shared" si="60"/>
        <v>0</v>
      </c>
      <c r="T53" s="1">
        <f>IF(A53="R E",1,0)</f>
        <v>0</v>
      </c>
      <c r="U53" s="1">
        <f t="shared" si="69"/>
        <v>0</v>
      </c>
      <c r="V53" s="1">
        <f t="shared" si="70"/>
        <v>0</v>
      </c>
      <c r="W53" s="34">
        <f t="shared" si="61"/>
        <v>1</v>
      </c>
      <c r="X53" s="35">
        <f t="shared" si="62"/>
        <v>1</v>
      </c>
      <c r="Y53" s="1">
        <f t="shared" si="63"/>
        <v>3</v>
      </c>
      <c r="Z53" s="1" t="str">
        <f t="shared" si="64"/>
        <v>N</v>
      </c>
      <c r="AA53" s="1">
        <f t="shared" si="65"/>
        <v>180</v>
      </c>
      <c r="AB53" s="1">
        <f t="shared" si="66"/>
        <v>0</v>
      </c>
      <c r="AC53" s="36">
        <f>IF(R53=1,N53,IF(S53=1,N53,IF(T53=1,N53,IF(U53=1,N53,IF(V53=1,N53,0)))))</f>
        <v>0</v>
      </c>
      <c r="AD53" s="37"/>
      <c r="AE53" s="36">
        <f t="shared" si="13"/>
        <v>0</v>
      </c>
    </row>
    <row r="54" spans="1:31" ht="14.25">
      <c r="A54" s="22"/>
      <c r="B54" s="46" t="s">
        <v>25</v>
      </c>
      <c r="C54" s="2">
        <v>4</v>
      </c>
      <c r="D54" s="24">
        <v>0</v>
      </c>
      <c r="E54" s="66" t="s">
        <v>22</v>
      </c>
      <c r="F54" s="64">
        <v>180</v>
      </c>
      <c r="G54" s="24">
        <v>0</v>
      </c>
      <c r="H54" s="40" t="s">
        <v>23</v>
      </c>
      <c r="I54" s="40">
        <f t="shared" si="67"/>
      </c>
      <c r="J54" s="27">
        <f>180/PI()*60*ACOS((SIN(PI()/180*W53*(C53+D53/60))*SIN(PI()/180*W54*(C54+D54/60)))+(COS(PI()/180*W53*(C53+D53/60))*COS(PI()/180*W54*(C54+D54/60))*COS(PI()/180*(X54*(F54+G54/60)-X53*(F53+G53/60)))))</f>
        <v>60.00000000001535</v>
      </c>
      <c r="K54" s="56">
        <v>9.5</v>
      </c>
      <c r="L54" s="29">
        <f t="shared" si="55"/>
        <v>6.315789473685826</v>
      </c>
      <c r="M54" s="30">
        <f t="shared" si="68"/>
        <v>1</v>
      </c>
      <c r="N54" s="47">
        <f t="shared" si="56"/>
        <v>36499.888374176444</v>
      </c>
      <c r="O54" s="32">
        <f t="shared" si="57"/>
        <v>36499.93004084311</v>
      </c>
      <c r="P54" s="44">
        <f t="shared" si="58"/>
        <v>464.3209802360087</v>
      </c>
      <c r="Q54" s="44">
        <f t="shared" si="18"/>
        <v>19.346707509833696</v>
      </c>
      <c r="R54" s="1">
        <f t="shared" si="59"/>
        <v>0</v>
      </c>
      <c r="S54" s="1">
        <f t="shared" si="60"/>
        <v>0</v>
      </c>
      <c r="T54" s="1">
        <f t="shared" si="31"/>
        <v>0</v>
      </c>
      <c r="U54" s="1">
        <f t="shared" si="69"/>
        <v>0</v>
      </c>
      <c r="V54" s="1">
        <f t="shared" si="70"/>
        <v>0</v>
      </c>
      <c r="W54" s="34">
        <f t="shared" si="61"/>
        <v>1</v>
      </c>
      <c r="X54" s="35">
        <f t="shared" si="62"/>
        <v>1</v>
      </c>
      <c r="Y54" s="1">
        <f t="shared" si="63"/>
        <v>4</v>
      </c>
      <c r="Z54" s="1" t="str">
        <f t="shared" si="64"/>
        <v>N</v>
      </c>
      <c r="AA54" s="1">
        <f t="shared" si="65"/>
        <v>180</v>
      </c>
      <c r="AB54" s="1">
        <f t="shared" si="66"/>
        <v>0</v>
      </c>
      <c r="AC54" s="36">
        <f t="shared" si="24"/>
        <v>0</v>
      </c>
      <c r="AD54" s="37"/>
      <c r="AE54" s="36">
        <f t="shared" si="13"/>
        <v>0</v>
      </c>
    </row>
    <row r="55" spans="1:31" s="122" customFormat="1" ht="14.25">
      <c r="A55" s="58" t="s">
        <v>24</v>
      </c>
      <c r="B55" s="49" t="s">
        <v>79</v>
      </c>
      <c r="C55" s="50">
        <v>5</v>
      </c>
      <c r="D55" s="51">
        <v>0</v>
      </c>
      <c r="E55" s="67" t="s">
        <v>22</v>
      </c>
      <c r="F55" s="149">
        <v>180</v>
      </c>
      <c r="G55" s="51">
        <v>0</v>
      </c>
      <c r="H55" s="26" t="s">
        <v>23</v>
      </c>
      <c r="I55" s="26">
        <f t="shared" si="67"/>
        <v>16.498137663536014</v>
      </c>
      <c r="J55" s="60">
        <f>180/PI()*60*ACOS((SIN(PI()/180*W54*(C54+D54/60))*SIN(PI()/180*W55*(C55+D55/60)))+(COS(PI()/180*W54*(C54+D54/60))*COS(PI()/180*W55*(C55+D55/60))*COS(PI()/180*(X55*(F55+G55/60)-X54*(F54+G54/60)))))</f>
        <v>60.00000000001535</v>
      </c>
      <c r="K55" s="56">
        <v>9.5</v>
      </c>
      <c r="L55" s="61">
        <f t="shared" si="55"/>
        <v>6.315789473685826</v>
      </c>
      <c r="M55" s="41">
        <f>IF(R55=1,12,IF(S55=1,4,IF(T55=1,6,IF(U55=1,8,IF(V55=1,5,1)))))</f>
        <v>4</v>
      </c>
      <c r="N55" s="62">
        <f t="shared" si="56"/>
        <v>36500.19319873785</v>
      </c>
      <c r="O55" s="63">
        <f t="shared" si="57"/>
        <v>36500.35986540451</v>
      </c>
      <c r="P55" s="150">
        <f t="shared" si="58"/>
        <v>474.63676970969453</v>
      </c>
      <c r="Q55" s="150">
        <f t="shared" si="18"/>
        <v>19.776532071237273</v>
      </c>
      <c r="R55" s="1">
        <f t="shared" si="59"/>
        <v>0</v>
      </c>
      <c r="S55" s="37">
        <f t="shared" si="60"/>
        <v>1</v>
      </c>
      <c r="T55" s="1">
        <f>IF(A55="R E",1,0)</f>
        <v>0</v>
      </c>
      <c r="U55" s="1">
        <f t="shared" si="69"/>
        <v>0</v>
      </c>
      <c r="V55" s="1">
        <f t="shared" si="70"/>
        <v>0</v>
      </c>
      <c r="W55" s="34">
        <f t="shared" si="61"/>
        <v>1</v>
      </c>
      <c r="X55" s="35">
        <f t="shared" si="62"/>
        <v>1</v>
      </c>
      <c r="Y55" s="1">
        <f t="shared" si="63"/>
        <v>5</v>
      </c>
      <c r="Z55" s="1" t="str">
        <f t="shared" si="64"/>
        <v>N</v>
      </c>
      <c r="AA55" s="1">
        <f t="shared" si="65"/>
        <v>180</v>
      </c>
      <c r="AB55" s="1" t="str">
        <f t="shared" si="66"/>
        <v>V</v>
      </c>
      <c r="AC55" s="36">
        <f t="shared" si="24"/>
        <v>36500.19319873785</v>
      </c>
      <c r="AD55" s="45">
        <v>35997</v>
      </c>
      <c r="AE55" s="98">
        <f>(AC55-AD55)/30.5</f>
        <v>16.498137663536014</v>
      </c>
    </row>
    <row r="56" spans="1:31" ht="14.25">
      <c r="A56" s="22"/>
      <c r="B56" s="46" t="s">
        <v>25</v>
      </c>
      <c r="C56" s="2">
        <v>6</v>
      </c>
      <c r="D56" s="24">
        <v>0</v>
      </c>
      <c r="E56" s="66" t="s">
        <v>22</v>
      </c>
      <c r="F56" s="64">
        <v>180</v>
      </c>
      <c r="G56" s="24">
        <v>0</v>
      </c>
      <c r="H56" s="40" t="s">
        <v>23</v>
      </c>
      <c r="I56" s="40">
        <f t="shared" si="67"/>
      </c>
      <c r="J56" s="27">
        <f t="shared" si="54"/>
        <v>60.00000000001535</v>
      </c>
      <c r="K56" s="56">
        <v>9.5</v>
      </c>
      <c r="L56" s="29">
        <f t="shared" si="55"/>
        <v>6.315789473685826</v>
      </c>
      <c r="M56" s="30">
        <f t="shared" si="68"/>
        <v>1</v>
      </c>
      <c r="N56" s="47">
        <f t="shared" si="56"/>
        <v>36500.62302329925</v>
      </c>
      <c r="O56" s="32">
        <f t="shared" si="57"/>
        <v>36500.66468996592</v>
      </c>
      <c r="P56" s="44">
        <f t="shared" si="58"/>
        <v>481.95255918338034</v>
      </c>
      <c r="Q56" s="44">
        <f t="shared" si="18"/>
        <v>20.081356632640848</v>
      </c>
      <c r="R56" s="1">
        <f t="shared" si="59"/>
        <v>0</v>
      </c>
      <c r="S56" s="1">
        <f t="shared" si="60"/>
        <v>0</v>
      </c>
      <c r="T56" s="1">
        <f t="shared" si="31"/>
        <v>0</v>
      </c>
      <c r="U56" s="1">
        <f t="shared" si="69"/>
        <v>0</v>
      </c>
      <c r="V56" s="1">
        <f t="shared" si="70"/>
        <v>0</v>
      </c>
      <c r="W56" s="34">
        <f t="shared" si="61"/>
        <v>1</v>
      </c>
      <c r="X56" s="35">
        <f t="shared" si="62"/>
        <v>1</v>
      </c>
      <c r="Y56" s="1">
        <f t="shared" si="63"/>
        <v>6</v>
      </c>
      <c r="Z56" s="1" t="str">
        <f t="shared" si="64"/>
        <v>N</v>
      </c>
      <c r="AA56" s="1">
        <f t="shared" si="65"/>
        <v>180</v>
      </c>
      <c r="AB56" s="1">
        <f t="shared" si="66"/>
        <v>0</v>
      </c>
      <c r="AC56" s="36">
        <f t="shared" si="24"/>
        <v>0</v>
      </c>
      <c r="AD56" s="37"/>
      <c r="AE56" s="36">
        <f t="shared" si="13"/>
        <v>0</v>
      </c>
    </row>
    <row r="57" spans="1:31" ht="14.25">
      <c r="A57" s="22"/>
      <c r="B57" s="46" t="s">
        <v>25</v>
      </c>
      <c r="C57" s="2">
        <v>7</v>
      </c>
      <c r="D57" s="24">
        <v>0</v>
      </c>
      <c r="E57" s="66" t="s">
        <v>22</v>
      </c>
      <c r="F57" s="64">
        <v>180</v>
      </c>
      <c r="G57" s="24">
        <v>0</v>
      </c>
      <c r="H57" s="40" t="s">
        <v>23</v>
      </c>
      <c r="I57" s="40">
        <f t="shared" si="67"/>
      </c>
      <c r="J57" s="27">
        <f t="shared" si="54"/>
        <v>60.00000000003748</v>
      </c>
      <c r="K57" s="56">
        <v>9.5</v>
      </c>
      <c r="L57" s="29">
        <f t="shared" si="55"/>
        <v>6.315789473688156</v>
      </c>
      <c r="M57" s="30">
        <f t="shared" si="68"/>
        <v>1</v>
      </c>
      <c r="N57" s="47">
        <f t="shared" si="56"/>
        <v>36500.92784786066</v>
      </c>
      <c r="O57" s="32">
        <f t="shared" si="57"/>
        <v>36500.96951452732</v>
      </c>
      <c r="P57" s="44">
        <f t="shared" si="58"/>
        <v>489.2683486570685</v>
      </c>
      <c r="Q57" s="44">
        <f t="shared" si="18"/>
        <v>20.38618119404452</v>
      </c>
      <c r="R57" s="1">
        <f t="shared" si="59"/>
        <v>0</v>
      </c>
      <c r="S57" s="1">
        <f t="shared" si="60"/>
        <v>0</v>
      </c>
      <c r="T57" s="1">
        <f t="shared" si="31"/>
        <v>0</v>
      </c>
      <c r="U57" s="1">
        <f t="shared" si="69"/>
        <v>0</v>
      </c>
      <c r="V57" s="1">
        <f t="shared" si="70"/>
        <v>0</v>
      </c>
      <c r="W57" s="34">
        <f t="shared" si="61"/>
        <v>1</v>
      </c>
      <c r="X57" s="35">
        <f t="shared" si="62"/>
        <v>1</v>
      </c>
      <c r="Y57" s="1">
        <f t="shared" si="63"/>
        <v>7</v>
      </c>
      <c r="Z57" s="1" t="str">
        <f t="shared" si="64"/>
        <v>N</v>
      </c>
      <c r="AA57" s="1">
        <f t="shared" si="65"/>
        <v>180</v>
      </c>
      <c r="AB57" s="1">
        <f t="shared" si="66"/>
        <v>0</v>
      </c>
      <c r="AC57" s="36">
        <f t="shared" si="24"/>
        <v>0</v>
      </c>
      <c r="AD57" s="37"/>
      <c r="AE57" s="36">
        <f t="shared" si="13"/>
        <v>0</v>
      </c>
    </row>
    <row r="58" spans="1:31" s="122" customFormat="1" ht="14.25">
      <c r="A58" s="58" t="s">
        <v>24</v>
      </c>
      <c r="B58" s="49" t="s">
        <v>78</v>
      </c>
      <c r="C58" s="59">
        <v>8</v>
      </c>
      <c r="D58" s="53">
        <v>0</v>
      </c>
      <c r="E58" s="68" t="s">
        <v>22</v>
      </c>
      <c r="F58" s="52">
        <v>180</v>
      </c>
      <c r="G58" s="53">
        <v>0</v>
      </c>
      <c r="H58" s="69" t="s">
        <v>23</v>
      </c>
      <c r="I58" s="26">
        <f t="shared" si="67"/>
        <v>17.15516958760859</v>
      </c>
      <c r="J58" s="60">
        <f>180/PI()*60*ACOS((SIN(PI()/180*W57*(C57+D57/60))*SIN(PI()/180*W58*(C58+D58/60)))+(COS(PI()/180*W57*(C57+D57/60))*COS(PI()/180*W58*(C58+D58/60))*COS(PI()/180*(X58*(F58+G58/60)-X57*(F57+G57/60)))))</f>
        <v>60.00000000001535</v>
      </c>
      <c r="K58" s="56">
        <v>9.5</v>
      </c>
      <c r="L58" s="61">
        <f>J58/K58</f>
        <v>6.315789473685826</v>
      </c>
      <c r="M58" s="41">
        <f>IF(R58=1,12,IF(S58=1,4,IF(T58=1,6,IF(U58=1,8,IF(V58=1,5,1)))))+6</f>
        <v>10</v>
      </c>
      <c r="N58" s="62">
        <f>O57+L58/24</f>
        <v>36501.23267242206</v>
      </c>
      <c r="O58" s="63">
        <f t="shared" si="57"/>
        <v>36501.649339088726</v>
      </c>
      <c r="P58" s="150">
        <f>P57+L58+M58</f>
        <v>505.5841381307543</v>
      </c>
      <c r="Q58" s="150">
        <f t="shared" si="18"/>
        <v>21.066005755448096</v>
      </c>
      <c r="R58" s="1">
        <f t="shared" si="59"/>
        <v>0</v>
      </c>
      <c r="S58" s="37">
        <f t="shared" si="60"/>
        <v>1</v>
      </c>
      <c r="T58" s="1">
        <f t="shared" si="31"/>
        <v>0</v>
      </c>
      <c r="U58" s="1">
        <f t="shared" si="69"/>
        <v>0</v>
      </c>
      <c r="V58" s="1">
        <f t="shared" si="70"/>
        <v>0</v>
      </c>
      <c r="W58" s="34">
        <f t="shared" si="61"/>
        <v>1</v>
      </c>
      <c r="X58" s="35">
        <f t="shared" si="62"/>
        <v>1</v>
      </c>
      <c r="Y58" s="1">
        <f t="shared" si="63"/>
        <v>8</v>
      </c>
      <c r="Z58" s="1" t="str">
        <f t="shared" si="64"/>
        <v>N</v>
      </c>
      <c r="AA58" s="1">
        <f t="shared" si="65"/>
        <v>180</v>
      </c>
      <c r="AB58" s="1" t="str">
        <f t="shared" si="66"/>
        <v>V</v>
      </c>
      <c r="AC58" s="36">
        <f t="shared" si="24"/>
        <v>36501.23267242206</v>
      </c>
      <c r="AD58" s="45">
        <v>35978</v>
      </c>
      <c r="AE58" s="98">
        <f t="shared" si="13"/>
        <v>17.15516958760859</v>
      </c>
    </row>
    <row r="59" spans="1:31" ht="14.25">
      <c r="A59" s="22"/>
      <c r="B59" s="96" t="s">
        <v>42</v>
      </c>
      <c r="C59" s="31">
        <v>21</v>
      </c>
      <c r="D59" s="24">
        <v>18</v>
      </c>
      <c r="E59" s="25" t="s">
        <v>22</v>
      </c>
      <c r="F59" s="2">
        <v>157</v>
      </c>
      <c r="G59" s="24">
        <v>52</v>
      </c>
      <c r="H59" s="25" t="s">
        <v>23</v>
      </c>
      <c r="I59" s="40">
        <f t="shared" si="67"/>
      </c>
      <c r="J59" s="60">
        <f>180/PI()*60*ACOS((SIN(PI()/180*W58*(C58+D58/60))*SIN(PI()/180*W59*(C59+D59/60)))+(COS(PI()/180*W58*(C58+D58/60))*COS(PI()/180*W59*(C59+D59/60))*COS(PI()/180*(X59*(F59+G59/60)-X58*(F58+G58/60)))))</f>
        <v>1509.064214011453</v>
      </c>
      <c r="K59" s="56">
        <v>9</v>
      </c>
      <c r="L59" s="29">
        <f>J59/K59</f>
        <v>167.67380155682812</v>
      </c>
      <c r="M59" s="30"/>
      <c r="N59" s="62">
        <f>O58+L59/24</f>
        <v>36508.63574748693</v>
      </c>
      <c r="O59" s="32"/>
      <c r="P59" s="150">
        <f>P58+L59+M59</f>
        <v>673.2579396875824</v>
      </c>
      <c r="Q59" s="150">
        <f t="shared" si="18"/>
        <v>28.052414153649266</v>
      </c>
      <c r="R59" s="72">
        <f t="shared" si="59"/>
        <v>0</v>
      </c>
      <c r="S59" s="72">
        <f t="shared" si="60"/>
        <v>0</v>
      </c>
      <c r="T59" s="72">
        <f t="shared" si="31"/>
        <v>0</v>
      </c>
      <c r="U59" s="72">
        <f t="shared" si="69"/>
        <v>0</v>
      </c>
      <c r="V59" s="72">
        <f t="shared" si="70"/>
        <v>0</v>
      </c>
      <c r="W59" s="34">
        <f t="shared" si="61"/>
        <v>1</v>
      </c>
      <c r="X59" s="35">
        <f t="shared" si="62"/>
        <v>1</v>
      </c>
      <c r="Y59" s="1">
        <f t="shared" si="63"/>
        <v>21</v>
      </c>
      <c r="Z59" s="1" t="str">
        <f t="shared" si="64"/>
        <v>N</v>
      </c>
      <c r="AA59" s="1">
        <f t="shared" si="65"/>
        <v>157</v>
      </c>
      <c r="AB59" s="1">
        <f t="shared" si="66"/>
        <v>0</v>
      </c>
      <c r="AC59" s="36">
        <f t="shared" si="24"/>
        <v>0</v>
      </c>
      <c r="AD59" s="37"/>
      <c r="AE59" s="36">
        <f t="shared" si="13"/>
        <v>0</v>
      </c>
    </row>
    <row r="60" spans="1:31" ht="14.25">
      <c r="A60" s="73"/>
      <c r="B60" s="73"/>
      <c r="C60" s="74"/>
      <c r="D60" s="75"/>
      <c r="E60" s="117"/>
      <c r="F60" s="117"/>
      <c r="G60" s="75"/>
      <c r="H60" s="117"/>
      <c r="I60" s="34"/>
      <c r="J60" s="76"/>
      <c r="K60" s="77"/>
      <c r="L60" s="76"/>
      <c r="M60" s="119"/>
      <c r="N60" s="78"/>
      <c r="O60" s="78"/>
      <c r="P60" s="79"/>
      <c r="Q60" s="79"/>
      <c r="R60" s="97">
        <f>SUM(R10:R59)</f>
        <v>6</v>
      </c>
      <c r="S60" s="97">
        <f>SUM(S10:S59)</f>
        <v>3</v>
      </c>
      <c r="T60" s="97">
        <f>SUM(T10:T59)</f>
        <v>5</v>
      </c>
      <c r="U60" s="97">
        <f>SUM(U10:U59)</f>
        <v>0</v>
      </c>
      <c r="V60" s="97">
        <f>SUM(V10:V59)</f>
        <v>0</v>
      </c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80" t="s">
        <v>56</v>
      </c>
      <c r="B61" s="81"/>
      <c r="C61" s="86">
        <f>SUM(R10:R59)</f>
        <v>6</v>
      </c>
      <c r="D61" s="35"/>
      <c r="E61" s="84"/>
      <c r="F61" s="85"/>
      <c r="G61" s="85"/>
      <c r="H61" s="85"/>
      <c r="I61" s="85"/>
      <c r="J61" s="83" t="s">
        <v>5</v>
      </c>
      <c r="K61" s="83" t="s">
        <v>6</v>
      </c>
      <c r="L61" s="120"/>
      <c r="M61" s="121"/>
      <c r="N61" s="101"/>
      <c r="O61" s="85"/>
      <c r="Q61" s="8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87" t="s">
        <v>55</v>
      </c>
      <c r="B62" s="88"/>
      <c r="C62" s="94">
        <f>SUM(R10:R59)</f>
        <v>6</v>
      </c>
      <c r="D62" s="1"/>
      <c r="E62" s="84"/>
      <c r="F62" s="118"/>
      <c r="G62" s="85"/>
      <c r="H62" s="85"/>
      <c r="I62" s="85"/>
      <c r="J62" s="89" t="s">
        <v>29</v>
      </c>
      <c r="K62" s="89" t="s">
        <v>29</v>
      </c>
      <c r="N62" s="102"/>
      <c r="O62" s="103"/>
      <c r="Q62" s="9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4:31" ht="15">
      <c r="D63" s="1"/>
      <c r="E63" s="163" t="s">
        <v>57</v>
      </c>
      <c r="F63" s="164"/>
      <c r="G63" s="164"/>
      <c r="H63" s="165"/>
      <c r="I63" s="1"/>
      <c r="J63" s="91">
        <f>SUM(L11:L59)</f>
        <v>481.2579396875826</v>
      </c>
      <c r="K63" s="92">
        <f>SUM(M11:M59)</f>
        <v>192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87" t="s">
        <v>62</v>
      </c>
      <c r="B64" s="88"/>
      <c r="C64" s="94">
        <f>SUM(R10:R59)-6</f>
        <v>0</v>
      </c>
      <c r="D64" s="1"/>
      <c r="E64" s="166" t="s">
        <v>45</v>
      </c>
      <c r="F64" s="167"/>
      <c r="G64" s="167"/>
      <c r="H64" s="109">
        <f>J11</f>
        <v>167.85768143257405</v>
      </c>
      <c r="I64" s="1"/>
      <c r="J64" s="93"/>
      <c r="K64" s="1"/>
      <c r="L64" s="1"/>
      <c r="M64" s="1"/>
      <c r="N64" s="141" t="s">
        <v>49</v>
      </c>
      <c r="O64" s="113">
        <f>O34-N11</f>
        <v>8.502192982428824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4:31" ht="15">
      <c r="D65" s="1"/>
      <c r="E65" s="151" t="s">
        <v>46</v>
      </c>
      <c r="F65" s="152"/>
      <c r="G65" s="152"/>
      <c r="H65" s="110">
        <f>SUM(J12:J58)</f>
        <v>2811.191630809596</v>
      </c>
      <c r="J65" s="104"/>
      <c r="K65" s="105"/>
      <c r="M65" s="84"/>
      <c r="N65" s="142" t="s">
        <v>50</v>
      </c>
      <c r="O65" s="114">
        <f>O58-N36+1</f>
        <v>8.918859649085789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80" t="s">
        <v>44</v>
      </c>
      <c r="B66" s="81"/>
      <c r="C66" s="82">
        <f>SUM(T10:T59)</f>
        <v>5</v>
      </c>
      <c r="D66" s="1"/>
      <c r="E66" s="153" t="s">
        <v>47</v>
      </c>
      <c r="F66" s="152"/>
      <c r="G66" s="152"/>
      <c r="H66" s="111">
        <f>SUM(J59:J59)</f>
        <v>1509.064214011453</v>
      </c>
      <c r="J66" s="104"/>
      <c r="K66" s="105"/>
      <c r="M66" s="84"/>
      <c r="N66" s="143" t="s">
        <v>52</v>
      </c>
      <c r="O66" s="107">
        <f>(N59-O58)+(N11-O10)+(N36-O34)</f>
        <v>11.631361522078805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87" t="s">
        <v>61</v>
      </c>
      <c r="B67" s="88"/>
      <c r="C67" s="94">
        <f>SUM(V10:V59)+1</f>
        <v>1</v>
      </c>
      <c r="D67" s="1"/>
      <c r="E67" s="156" t="s">
        <v>48</v>
      </c>
      <c r="F67" s="157"/>
      <c r="G67" s="157"/>
      <c r="H67" s="95">
        <f>SUM(H64:H66)</f>
        <v>4488.113526253624</v>
      </c>
      <c r="J67" s="106"/>
      <c r="K67" s="105"/>
      <c r="M67" s="84"/>
      <c r="N67" s="144" t="s">
        <v>51</v>
      </c>
      <c r="O67" s="108">
        <f>SUM(O64:O66)</f>
        <v>29.052414153593418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4:31" ht="15">
      <c r="D68" s="1"/>
      <c r="J68" s="104"/>
      <c r="K68" s="105"/>
      <c r="M68" s="8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80" t="s">
        <v>80</v>
      </c>
      <c r="B69" s="81"/>
      <c r="C69" s="82">
        <f>SUM(S10:S59)</f>
        <v>3</v>
      </c>
      <c r="E69" s="154" t="s">
        <v>58</v>
      </c>
      <c r="F69" s="154"/>
      <c r="G69" s="154"/>
      <c r="H69" s="154"/>
      <c r="I69" s="154"/>
      <c r="J69" s="154"/>
      <c r="K69" s="154"/>
      <c r="L69" s="154"/>
      <c r="M69" s="154"/>
      <c r="N69" s="15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46"/>
      <c r="B70" s="147"/>
      <c r="C70" s="148"/>
      <c r="E70" s="155" t="s">
        <v>59</v>
      </c>
      <c r="F70" s="155"/>
      <c r="G70" s="155"/>
      <c r="H70" s="155"/>
      <c r="I70" s="155"/>
      <c r="J70" s="155"/>
      <c r="K70" s="155"/>
      <c r="L70" s="155"/>
      <c r="M70" s="155"/>
      <c r="N70" s="15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4:31" ht="14.25">
      <c r="D71" s="99"/>
      <c r="F71" s="112"/>
      <c r="H71" s="1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4:31" ht="15">
      <c r="D72" s="100"/>
      <c r="F72" s="112"/>
      <c r="H72" s="1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</sheetData>
  <mergeCells count="13">
    <mergeCell ref="A7:Q7"/>
    <mergeCell ref="A6:Q6"/>
    <mergeCell ref="E63:H63"/>
    <mergeCell ref="E64:G64"/>
    <mergeCell ref="A1:Q1"/>
    <mergeCell ref="A3:Q3"/>
    <mergeCell ref="A5:Q5"/>
    <mergeCell ref="A2:Q2"/>
    <mergeCell ref="E65:G65"/>
    <mergeCell ref="E66:G66"/>
    <mergeCell ref="E69:N69"/>
    <mergeCell ref="E70:N70"/>
    <mergeCell ref="E67:G67"/>
  </mergeCells>
  <printOptions horizontalCentered="1" verticalCentered="1"/>
  <pageMargins left="1" right="0.68" top="0.49" bottom="0.51" header="0.5" footer="0.5"/>
  <pageSetup fitToHeight="1" fitToWidth="1" orientation="landscape" scale="54" r:id="rId1"/>
  <headerFooter alignWithMargins="0">
    <oddHeader>&amp;L&amp;D&amp;R&amp;F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TAO Operations</cp:lastModifiedBy>
  <cp:lastPrinted>2000-10-17T20:07:18Z</cp:lastPrinted>
  <dcterms:created xsi:type="dcterms:W3CDTF">1998-03-17T01:23:51Z</dcterms:created>
  <dcterms:modified xsi:type="dcterms:W3CDTF">2003-10-30T23:16:57Z</dcterms:modified>
  <cp:category/>
  <cp:version/>
  <cp:contentType/>
  <cp:contentStatus/>
</cp:coreProperties>
</file>