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7001" yWindow="65476" windowWidth="12120" windowHeight="9120" activeTab="0"/>
  </bookViews>
  <sheets>
    <sheet name="RB00; 110-95" sheetId="1" r:id="rId1"/>
  </sheets>
  <definedNames>
    <definedName name="CRITERIA">'RB00; 110-95'!#REF!</definedName>
    <definedName name="_xlnm.Print_Area" localSheetId="0">'RB00; 110-95'!$A$1:$O$78</definedName>
  </definedNames>
  <calcPr fullCalcOnLoad="1"/>
</workbook>
</file>

<file path=xl/comments1.xml><?xml version="1.0" encoding="utf-8"?>
<comments xmlns="http://schemas.openxmlformats.org/spreadsheetml/2006/main">
  <authors>
    <author>Mark P Ablondi</author>
  </authors>
  <commentList>
    <comment ref="B70" authorId="0">
      <text>
        <r>
          <rPr>
            <b/>
            <sz val="8"/>
            <rFont val="Tahoma"/>
            <family val="0"/>
          </rPr>
          <t>Mark P Ablondi: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<sst xmlns="http://schemas.openxmlformats.org/spreadsheetml/2006/main" count="253" uniqueCount="78">
  <si>
    <t>Activity</t>
  </si>
  <si>
    <t xml:space="preserve">Latitude  </t>
  </si>
  <si>
    <t xml:space="preserve">Longitude </t>
  </si>
  <si>
    <t>Deployed</t>
  </si>
  <si>
    <t>Speed</t>
  </si>
  <si>
    <t>Transit</t>
  </si>
  <si>
    <t>Arrive</t>
  </si>
  <si>
    <t>Depart</t>
  </si>
  <si>
    <t>LAT</t>
  </si>
  <si>
    <t>LONG</t>
  </si>
  <si>
    <t>Deg.</t>
  </si>
  <si>
    <t>(mos)</t>
  </si>
  <si>
    <t>(kts)</t>
  </si>
  <si>
    <t>(hrs)</t>
  </si>
  <si>
    <t>Date / Time</t>
  </si>
  <si>
    <t>RECOVER</t>
  </si>
  <si>
    <t>VISIT</t>
  </si>
  <si>
    <t>CORR</t>
  </si>
  <si>
    <t>AT SITE</t>
  </si>
  <si>
    <t>LAST RECOV</t>
  </si>
  <si>
    <t>DIFFERENCE</t>
  </si>
  <si>
    <t>N</t>
  </si>
  <si>
    <t>W</t>
  </si>
  <si>
    <t>CTD</t>
  </si>
  <si>
    <t>R</t>
  </si>
  <si>
    <t>S</t>
  </si>
  <si>
    <t>hrs</t>
  </si>
  <si>
    <t xml:space="preserve">   Minutes</t>
  </si>
  <si>
    <t xml:space="preserve">     CUMULATIVE</t>
  </si>
  <si>
    <t>(nmi)</t>
  </si>
  <si>
    <t>(days)</t>
  </si>
  <si>
    <t>Distance</t>
  </si>
  <si>
    <t>On Sta.</t>
  </si>
  <si>
    <t>SWAP</t>
  </si>
  <si>
    <t>OUT</t>
  </si>
  <si>
    <t>REPAIR</t>
  </si>
  <si>
    <t>Days At Sea</t>
  </si>
  <si>
    <t>Nautical Miles</t>
  </si>
  <si>
    <t>Transit =</t>
  </si>
  <si>
    <t>TOTALS =</t>
  </si>
  <si>
    <t>110W =</t>
  </si>
  <si>
    <t>95W =</t>
  </si>
  <si>
    <t>On Station</t>
  </si>
  <si>
    <t>RECOVER STANDARD ATLAS =</t>
  </si>
  <si>
    <t>nmi check</t>
  </si>
  <si>
    <t>NOAA SHIP RONALD H. BROWN</t>
  </si>
  <si>
    <t xml:space="preserve"> ALL TIMES ARE PACIFIC STANDARD TIME (-8 GMT)</t>
  </si>
  <si>
    <t>DEPLOY</t>
  </si>
  <si>
    <t>ONLY</t>
  </si>
  <si>
    <t>R E</t>
  </si>
  <si>
    <t>VISIT TAUT-NG =</t>
  </si>
  <si>
    <t>RECOVER TAUT NG =</t>
  </si>
  <si>
    <t>DEPLOY TAUT NG =</t>
  </si>
  <si>
    <t>DEPLOY TAUT NG (INSERT/FAIRED) =</t>
  </si>
  <si>
    <t>REPAIR TAUT-NG (BUOY RIDE) =</t>
  </si>
  <si>
    <t>TAO ARRAY: 95W &amp; 110W</t>
  </si>
  <si>
    <t>RECOVER SUBSURFACE HARUPHONES =</t>
  </si>
  <si>
    <t>DEPLOY SUBSURFACE HARUPHONES =</t>
  </si>
  <si>
    <t>BALBOA  PANAMA</t>
  </si>
  <si>
    <t>ecover/Deploy, CTD</t>
  </si>
  <si>
    <t>Balboa, PANAMA</t>
  </si>
  <si>
    <t>WAYPOINT</t>
  </si>
  <si>
    <t>RB-03-09</t>
  </si>
  <si>
    <t>22 October - 24 November 2003</t>
  </si>
  <si>
    <t>GP6-03-RB</t>
  </si>
  <si>
    <t>ecover only ATLAS II-E,  &amp; CTD</t>
  </si>
  <si>
    <t>ecover/Deploy Atlas II-E, CTD</t>
  </si>
  <si>
    <t>Deploy  ATLAS II, CTD</t>
  </si>
  <si>
    <t>ecover ATLAS II-E drifter</t>
  </si>
  <si>
    <t>epair ATLAS II-E, CTD</t>
  </si>
  <si>
    <t>ecover/Deploy  ATLAS II-E, CTD</t>
  </si>
  <si>
    <t>ecover/Deploy ATLAS II-E, CTD</t>
  </si>
  <si>
    <t>ecover/Deploy  ATLAS II, CTD</t>
  </si>
  <si>
    <t>V</t>
  </si>
  <si>
    <t>isit, CTD</t>
  </si>
  <si>
    <t>Deploy ATLAS II, R/D ADCP, R ADCP, CTD</t>
  </si>
  <si>
    <t>ecover/Deploy ATLAS II, CTD</t>
  </si>
  <si>
    <t>epair ATLAS II, CTD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</si>
</sst>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hhmm"/>
    <numFmt numFmtId="166" formatCode="hh;"/>
    <numFmt numFmtId="167" formatCode="m/d/yy\ \ \ hh:mm"/>
    <numFmt numFmtId="168" formatCode="d\-mmm\ \ \ hh:mm"/>
    <numFmt numFmtId="169" formatCode="dd\-mmm\ \ \ hh:mm"/>
    <numFmt numFmtId="170" formatCode="00.0"/>
    <numFmt numFmtId="171" formatCode="00.00"/>
    <numFmt numFmtId="172" formatCode="\ 0.0"/>
    <numFmt numFmtId="173" formatCode="\ \ 0.0"/>
  </numFmts>
  <fonts count="18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0"/>
      <name val="Geneva"/>
      <family val="0"/>
    </font>
    <font>
      <sz val="8"/>
      <name val="Tahoma"/>
      <family val="0"/>
    </font>
    <font>
      <b/>
      <sz val="8"/>
      <name val="Tahoma"/>
      <family val="0"/>
    </font>
    <font>
      <b/>
      <sz val="14"/>
      <name val="Geneva"/>
      <family val="0"/>
    </font>
    <font>
      <sz val="14"/>
      <name val="Geneva"/>
      <family val="0"/>
    </font>
    <font>
      <i/>
      <sz val="14"/>
      <name val="Geneva"/>
      <family val="0"/>
    </font>
    <font>
      <i/>
      <u val="single"/>
      <sz val="14"/>
      <name val="Geneva"/>
      <family val="0"/>
    </font>
    <font>
      <sz val="14"/>
      <color indexed="12"/>
      <name val="Geneva"/>
      <family val="0"/>
    </font>
    <font>
      <sz val="14"/>
      <color indexed="14"/>
      <name val="Geneva"/>
      <family val="0"/>
    </font>
    <font>
      <i/>
      <sz val="14"/>
      <color indexed="12"/>
      <name val="Geneva"/>
      <family val="0"/>
    </font>
    <font>
      <u val="single"/>
      <sz val="14"/>
      <name val="Geneva"/>
      <family val="0"/>
    </font>
    <font>
      <b/>
      <u val="single"/>
      <sz val="14"/>
      <name val="Geneva"/>
      <family val="0"/>
    </font>
    <font>
      <sz val="16"/>
      <name val="Geneva"/>
      <family val="0"/>
    </font>
    <font>
      <b/>
      <sz val="8"/>
      <name val="Geneva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8" fillId="2" borderId="2" xfId="0" applyFont="1" applyFill="1" applyBorder="1" applyAlignment="1">
      <alignment/>
    </xf>
    <xf numFmtId="0" fontId="8" fillId="2" borderId="3" xfId="0" applyFont="1" applyFill="1" applyBorder="1" applyAlignment="1">
      <alignment horizontal="center"/>
    </xf>
    <xf numFmtId="0" fontId="8" fillId="2" borderId="4" xfId="0" applyFont="1" applyFill="1" applyBorder="1" applyAlignment="1">
      <alignment/>
    </xf>
    <xf numFmtId="0" fontId="8" fillId="2" borderId="4" xfId="0" applyFont="1" applyFill="1" applyBorder="1" applyAlignment="1">
      <alignment horizontal="right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/>
    </xf>
    <xf numFmtId="0" fontId="8" fillId="2" borderId="6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left"/>
    </xf>
    <xf numFmtId="0" fontId="8" fillId="2" borderId="6" xfId="0" applyFont="1" applyFill="1" applyBorder="1" applyAlignment="1">
      <alignment/>
    </xf>
    <xf numFmtId="0" fontId="8" fillId="2" borderId="8" xfId="0" applyFont="1" applyFill="1" applyBorder="1" applyAlignment="1">
      <alignment/>
    </xf>
    <xf numFmtId="0" fontId="8" fillId="2" borderId="9" xfId="0" applyFont="1" applyFill="1" applyBorder="1" applyAlignment="1">
      <alignment/>
    </xf>
    <xf numFmtId="0" fontId="8" fillId="2" borderId="9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8" fillId="0" borderId="8" xfId="0" applyFont="1" applyBorder="1" applyAlignment="1">
      <alignment/>
    </xf>
    <xf numFmtId="0" fontId="8" fillId="0" borderId="9" xfId="0" applyFont="1" applyBorder="1" applyAlignment="1">
      <alignment/>
    </xf>
    <xf numFmtId="171" fontId="8" fillId="0" borderId="1" xfId="0" applyNumberFormat="1" applyFont="1" applyBorder="1" applyAlignment="1">
      <alignment horizontal="center"/>
    </xf>
    <xf numFmtId="164" fontId="8" fillId="0" borderId="1" xfId="0" applyNumberFormat="1" applyFont="1" applyBorder="1" applyAlignment="1">
      <alignment horizontal="right"/>
    </xf>
    <xf numFmtId="164" fontId="8" fillId="0" borderId="8" xfId="0" applyNumberFormat="1" applyFont="1" applyBorder="1" applyAlignment="1">
      <alignment horizontal="center"/>
    </xf>
    <xf numFmtId="164" fontId="8" fillId="0" borderId="8" xfId="0" applyNumberFormat="1" applyFont="1" applyBorder="1" applyAlignment="1">
      <alignment horizontal="right"/>
    </xf>
    <xf numFmtId="164" fontId="8" fillId="0" borderId="8" xfId="0" applyNumberFormat="1" applyFont="1" applyBorder="1" applyAlignment="1">
      <alignment/>
    </xf>
    <xf numFmtId="0" fontId="8" fillId="0" borderId="8" xfId="0" applyFont="1" applyBorder="1" applyAlignment="1">
      <alignment horizontal="center"/>
    </xf>
    <xf numFmtId="169" fontId="8" fillId="0" borderId="10" xfId="0" applyNumberFormat="1" applyFont="1" applyBorder="1" applyAlignment="1">
      <alignment horizontal="center"/>
    </xf>
    <xf numFmtId="2" fontId="8" fillId="0" borderId="7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2" fontId="8" fillId="0" borderId="0" xfId="0" applyNumberFormat="1" applyFont="1" applyAlignment="1">
      <alignment/>
    </xf>
    <xf numFmtId="0" fontId="11" fillId="0" borderId="0" xfId="0" applyFont="1" applyAlignment="1">
      <alignment/>
    </xf>
    <xf numFmtId="0" fontId="8" fillId="0" borderId="8" xfId="0" applyFont="1" applyFill="1" applyBorder="1" applyAlignment="1">
      <alignment/>
    </xf>
    <xf numFmtId="15" fontId="8" fillId="0" borderId="9" xfId="0" applyNumberFormat="1" applyFont="1" applyFill="1" applyBorder="1" applyAlignment="1">
      <alignment/>
    </xf>
    <xf numFmtId="0" fontId="8" fillId="0" borderId="1" xfId="0" applyFont="1" applyFill="1" applyBorder="1" applyAlignment="1">
      <alignment horizontal="center"/>
    </xf>
    <xf numFmtId="171" fontId="8" fillId="0" borderId="1" xfId="0" applyNumberFormat="1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164" fontId="8" fillId="0" borderId="1" xfId="0" applyNumberFormat="1" applyFont="1" applyFill="1" applyBorder="1" applyAlignment="1">
      <alignment horizontal="right"/>
    </xf>
    <xf numFmtId="164" fontId="8" fillId="0" borderId="8" xfId="0" applyNumberFormat="1" applyFont="1" applyFill="1" applyBorder="1" applyAlignment="1">
      <alignment horizontal="right"/>
    </xf>
    <xf numFmtId="169" fontId="8" fillId="0" borderId="8" xfId="0" applyNumberFormat="1" applyFont="1" applyFill="1" applyBorder="1" applyAlignment="1">
      <alignment horizontal="center"/>
    </xf>
    <xf numFmtId="169" fontId="8" fillId="0" borderId="10" xfId="0" applyNumberFormat="1" applyFont="1" applyFill="1" applyBorder="1" applyAlignment="1">
      <alignment horizontal="center"/>
    </xf>
    <xf numFmtId="2" fontId="8" fillId="0" borderId="10" xfId="0" applyNumberFormat="1" applyFont="1" applyBorder="1" applyAlignment="1">
      <alignment/>
    </xf>
    <xf numFmtId="15" fontId="11" fillId="0" borderId="0" xfId="0" applyNumberFormat="1" applyFont="1" applyAlignment="1">
      <alignment/>
    </xf>
    <xf numFmtId="2" fontId="12" fillId="0" borderId="0" xfId="0" applyNumberFormat="1" applyFont="1" applyAlignment="1">
      <alignment/>
    </xf>
    <xf numFmtId="15" fontId="8" fillId="0" borderId="9" xfId="0" applyNumberFormat="1" applyFont="1" applyBorder="1" applyAlignment="1">
      <alignment/>
    </xf>
    <xf numFmtId="0" fontId="8" fillId="0" borderId="9" xfId="0" applyFont="1" applyFill="1" applyBorder="1" applyAlignment="1">
      <alignment horizontal="center"/>
    </xf>
    <xf numFmtId="169" fontId="8" fillId="0" borderId="8" xfId="0" applyNumberFormat="1" applyFont="1" applyBorder="1" applyAlignment="1">
      <alignment horizontal="center"/>
    </xf>
    <xf numFmtId="164" fontId="8" fillId="0" borderId="1" xfId="0" applyNumberFormat="1" applyFont="1" applyBorder="1" applyAlignment="1">
      <alignment horizontal="center"/>
    </xf>
    <xf numFmtId="164" fontId="8" fillId="0" borderId="9" xfId="0" applyNumberFormat="1" applyFont="1" applyBorder="1" applyAlignment="1">
      <alignment horizontal="center"/>
    </xf>
    <xf numFmtId="15" fontId="8" fillId="2" borderId="9" xfId="0" applyNumberFormat="1" applyFont="1" applyFill="1" applyBorder="1" applyAlignment="1">
      <alignment/>
    </xf>
    <xf numFmtId="171" fontId="8" fillId="2" borderId="1" xfId="0" applyNumberFormat="1" applyFont="1" applyFill="1" applyBorder="1" applyAlignment="1">
      <alignment horizontal="center"/>
    </xf>
    <xf numFmtId="164" fontId="8" fillId="2" borderId="9" xfId="0" applyNumberFormat="1" applyFont="1" applyFill="1" applyBorder="1" applyAlignment="1">
      <alignment horizontal="center"/>
    </xf>
    <xf numFmtId="164" fontId="8" fillId="2" borderId="1" xfId="0" applyNumberFormat="1" applyFont="1" applyFill="1" applyBorder="1" applyAlignment="1">
      <alignment horizontal="right"/>
    </xf>
    <xf numFmtId="164" fontId="8" fillId="2" borderId="8" xfId="0" applyNumberFormat="1" applyFont="1" applyFill="1" applyBorder="1" applyAlignment="1">
      <alignment horizontal="right"/>
    </xf>
    <xf numFmtId="164" fontId="8" fillId="2" borderId="8" xfId="0" applyNumberFormat="1" applyFont="1" applyFill="1" applyBorder="1" applyAlignment="1">
      <alignment/>
    </xf>
    <xf numFmtId="169" fontId="8" fillId="2" borderId="8" xfId="0" applyNumberFormat="1" applyFont="1" applyFill="1" applyBorder="1" applyAlignment="1">
      <alignment horizontal="center"/>
    </xf>
    <xf numFmtId="169" fontId="8" fillId="2" borderId="10" xfId="0" applyNumberFormat="1" applyFont="1" applyFill="1" applyBorder="1" applyAlignment="1">
      <alignment horizontal="center"/>
    </xf>
    <xf numFmtId="2" fontId="8" fillId="2" borderId="10" xfId="0" applyNumberFormat="1" applyFont="1" applyFill="1" applyBorder="1" applyAlignment="1">
      <alignment/>
    </xf>
    <xf numFmtId="0" fontId="8" fillId="2" borderId="0" xfId="0" applyFont="1" applyFill="1" applyAlignment="1">
      <alignment/>
    </xf>
    <xf numFmtId="0" fontId="8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/>
    </xf>
    <xf numFmtId="15" fontId="11" fillId="2" borderId="0" xfId="0" applyNumberFormat="1" applyFont="1" applyFill="1" applyAlignment="1">
      <alignment/>
    </xf>
    <xf numFmtId="2" fontId="12" fillId="2" borderId="0" xfId="0" applyNumberFormat="1" applyFont="1" applyFill="1" applyAlignment="1">
      <alignment/>
    </xf>
    <xf numFmtId="0" fontId="12" fillId="0" borderId="0" xfId="0" applyFont="1" applyAlignment="1">
      <alignment/>
    </xf>
    <xf numFmtId="0" fontId="8" fillId="0" borderId="11" xfId="0" applyFont="1" applyBorder="1" applyAlignment="1">
      <alignment/>
    </xf>
    <xf numFmtId="0" fontId="8" fillId="0" borderId="4" xfId="0" applyFont="1" applyBorder="1" applyAlignment="1">
      <alignment/>
    </xf>
    <xf numFmtId="0" fontId="8" fillId="0" borderId="4" xfId="0" applyFont="1" applyBorder="1" applyAlignment="1">
      <alignment horizontal="center"/>
    </xf>
    <xf numFmtId="171" fontId="8" fillId="0" borderId="11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1" fontId="8" fillId="0" borderId="11" xfId="0" applyNumberFormat="1" applyFont="1" applyFill="1" applyBorder="1" applyAlignment="1">
      <alignment/>
    </xf>
    <xf numFmtId="164" fontId="8" fillId="0" borderId="0" xfId="0" applyNumberFormat="1" applyFont="1" applyBorder="1" applyAlignment="1">
      <alignment horizontal="center"/>
    </xf>
    <xf numFmtId="164" fontId="8" fillId="0" borderId="0" xfId="0" applyNumberFormat="1" applyFont="1" applyBorder="1" applyAlignment="1">
      <alignment horizontal="right"/>
    </xf>
    <xf numFmtId="164" fontId="8" fillId="0" borderId="0" xfId="0" applyNumberFormat="1" applyFont="1" applyBorder="1" applyAlignment="1">
      <alignment/>
    </xf>
    <xf numFmtId="169" fontId="8" fillId="0" borderId="0" xfId="0" applyNumberFormat="1" applyFont="1" applyBorder="1" applyAlignment="1">
      <alignment horizontal="center"/>
    </xf>
    <xf numFmtId="2" fontId="8" fillId="0" borderId="11" xfId="0" applyNumberFormat="1" applyFont="1" applyBorder="1" applyAlignment="1">
      <alignment/>
    </xf>
    <xf numFmtId="2" fontId="8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7" fillId="0" borderId="12" xfId="0" applyFont="1" applyFill="1" applyBorder="1" applyAlignment="1">
      <alignment/>
    </xf>
    <xf numFmtId="0" fontId="7" fillId="2" borderId="3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7" fillId="2" borderId="9" xfId="0" applyFont="1" applyFill="1" applyBorder="1" applyAlignment="1">
      <alignment/>
    </xf>
    <xf numFmtId="1" fontId="7" fillId="0" borderId="0" xfId="0" applyNumberFormat="1" applyFont="1" applyFill="1" applyBorder="1" applyAlignment="1">
      <alignment/>
    </xf>
    <xf numFmtId="0" fontId="14" fillId="2" borderId="11" xfId="0" applyFont="1" applyFill="1" applyBorder="1" applyAlignment="1">
      <alignment horizontal="center"/>
    </xf>
    <xf numFmtId="0" fontId="14" fillId="2" borderId="3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Fill="1" applyBorder="1" applyAlignment="1">
      <alignment horizontal="right"/>
    </xf>
    <xf numFmtId="0" fontId="8" fillId="2" borderId="13" xfId="0" applyFont="1" applyFill="1" applyBorder="1" applyAlignment="1">
      <alignment horizontal="center"/>
    </xf>
    <xf numFmtId="1" fontId="7" fillId="0" borderId="0" xfId="0" applyNumberFormat="1" applyFont="1" applyBorder="1" applyAlignment="1">
      <alignment/>
    </xf>
    <xf numFmtId="1" fontId="7" fillId="2" borderId="0" xfId="0" applyNumberFormat="1" applyFont="1" applyFill="1" applyBorder="1" applyAlignment="1">
      <alignment horizontal="center"/>
    </xf>
    <xf numFmtId="1" fontId="7" fillId="2" borderId="12" xfId="0" applyNumberFormat="1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0" fontId="8" fillId="0" borderId="1" xfId="0" applyFont="1" applyBorder="1" applyAlignment="1">
      <alignment/>
    </xf>
    <xf numFmtId="1" fontId="8" fillId="0" borderId="0" xfId="0" applyNumberFormat="1" applyFont="1" applyFill="1" applyBorder="1" applyAlignment="1">
      <alignment/>
    </xf>
    <xf numFmtId="1" fontId="8" fillId="2" borderId="7" xfId="0" applyNumberFormat="1" applyFont="1" applyFill="1" applyBorder="1" applyAlignment="1">
      <alignment horizontal="center"/>
    </xf>
    <xf numFmtId="1" fontId="8" fillId="2" borderId="6" xfId="0" applyNumberFormat="1" applyFont="1" applyFill="1" applyBorder="1" applyAlignment="1">
      <alignment horizontal="center"/>
    </xf>
    <xf numFmtId="1" fontId="15" fillId="2" borderId="0" xfId="0" applyNumberFormat="1" applyFont="1" applyFill="1" applyBorder="1" applyAlignment="1">
      <alignment horizontal="center"/>
    </xf>
    <xf numFmtId="1" fontId="15" fillId="2" borderId="12" xfId="0" applyNumberFormat="1" applyFont="1" applyFill="1" applyBorder="1" applyAlignment="1">
      <alignment horizontal="center"/>
    </xf>
    <xf numFmtId="0" fontId="15" fillId="0" borderId="0" xfId="0" applyNumberFormat="1" applyFont="1" applyFill="1" applyBorder="1" applyAlignment="1">
      <alignment/>
    </xf>
    <xf numFmtId="1" fontId="7" fillId="2" borderId="1" xfId="0" applyNumberFormat="1" applyFont="1" applyFill="1" applyBorder="1" applyAlignment="1">
      <alignment horizontal="center"/>
    </xf>
    <xf numFmtId="1" fontId="7" fillId="2" borderId="9" xfId="0" applyNumberFormat="1" applyFont="1" applyFill="1" applyBorder="1" applyAlignment="1">
      <alignment horizontal="center"/>
    </xf>
    <xf numFmtId="0" fontId="7" fillId="2" borderId="12" xfId="0" applyFont="1" applyFill="1" applyBorder="1" applyAlignment="1">
      <alignment/>
    </xf>
    <xf numFmtId="164" fontId="8" fillId="0" borderId="6" xfId="0" applyNumberFormat="1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171" fontId="16" fillId="0" borderId="1" xfId="0" applyNumberFormat="1" applyFont="1" applyBorder="1" applyAlignment="1">
      <alignment horizontal="center"/>
    </xf>
    <xf numFmtId="164" fontId="16" fillId="0" borderId="6" xfId="0" applyNumberFormat="1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164" fontId="16" fillId="0" borderId="9" xfId="0" applyNumberFormat="1" applyFont="1" applyBorder="1" applyAlignment="1">
      <alignment horizontal="center"/>
    </xf>
    <xf numFmtId="164" fontId="8" fillId="0" borderId="1" xfId="0" applyNumberFormat="1" applyFont="1" applyFill="1" applyBorder="1" applyAlignment="1">
      <alignment horizontal="center"/>
    </xf>
    <xf numFmtId="164" fontId="8" fillId="0" borderId="9" xfId="0" applyNumberFormat="1" applyFont="1" applyFill="1" applyBorder="1" applyAlignment="1">
      <alignment horizontal="center"/>
    </xf>
    <xf numFmtId="2" fontId="8" fillId="0" borderId="9" xfId="0" applyNumberFormat="1" applyFont="1" applyFill="1" applyBorder="1" applyAlignment="1">
      <alignment horizontal="center"/>
    </xf>
    <xf numFmtId="17" fontId="9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7" fillId="2" borderId="8" xfId="0" applyFont="1" applyFill="1" applyBorder="1" applyAlignment="1">
      <alignment/>
    </xf>
    <xf numFmtId="0" fontId="8" fillId="0" borderId="1" xfId="0" applyFont="1" applyBorder="1" applyAlignment="1">
      <alignment/>
    </xf>
    <xf numFmtId="0" fontId="7" fillId="2" borderId="2" xfId="0" applyFont="1" applyFill="1" applyBorder="1" applyAlignment="1">
      <alignment/>
    </xf>
    <xf numFmtId="0" fontId="8" fillId="0" borderId="11" xfId="0" applyFont="1" applyBorder="1" applyAlignment="1">
      <alignment/>
    </xf>
    <xf numFmtId="0" fontId="8" fillId="2" borderId="2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7" fillId="2" borderId="14" xfId="0" applyFont="1" applyFill="1" applyBorder="1" applyAlignment="1">
      <alignment/>
    </xf>
    <xf numFmtId="0" fontId="8" fillId="0" borderId="0" xfId="0" applyFont="1" applyBorder="1" applyAlignment="1">
      <alignment/>
    </xf>
    <xf numFmtId="0" fontId="15" fillId="2" borderId="14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81"/>
  <sheetViews>
    <sheetView tabSelected="1" view="pageBreakPreview" zoomScale="60" workbookViewId="0" topLeftCell="C12">
      <selection activeCell="N38" sqref="N38"/>
    </sheetView>
  </sheetViews>
  <sheetFormatPr defaultColWidth="9.00390625" defaultRowHeight="12"/>
  <cols>
    <col min="1" max="1" width="3.00390625" style="2" customWidth="1"/>
    <col min="2" max="2" width="97.375" style="2" customWidth="1"/>
    <col min="3" max="3" width="9.125" style="2" customWidth="1"/>
    <col min="4" max="4" width="12.25390625" style="2" customWidth="1"/>
    <col min="5" max="5" width="6.25390625" style="2" customWidth="1"/>
    <col min="6" max="6" width="8.875" style="2" customWidth="1"/>
    <col min="7" max="7" width="12.75390625" style="2" customWidth="1"/>
    <col min="8" max="8" width="10.875" style="2" customWidth="1"/>
    <col min="9" max="9" width="15.25390625" style="2" customWidth="1"/>
    <col min="10" max="10" width="13.125" style="2" customWidth="1"/>
    <col min="11" max="11" width="9.75390625" style="2" customWidth="1"/>
    <col min="12" max="12" width="11.25390625" style="2" customWidth="1"/>
    <col min="13" max="13" width="11.75390625" style="2" customWidth="1"/>
    <col min="14" max="14" width="25.125" style="2" customWidth="1"/>
    <col min="15" max="15" width="34.75390625" style="2" customWidth="1"/>
    <col min="16" max="16" width="12.75390625" style="2" customWidth="1"/>
    <col min="17" max="17" width="11.25390625" style="2" customWidth="1"/>
    <col min="18" max="18" width="15.125" style="2" customWidth="1"/>
    <col min="19" max="19" width="9.875" style="2" customWidth="1"/>
    <col min="20" max="20" width="10.00390625" style="2" customWidth="1"/>
    <col min="21" max="21" width="10.125" style="2" customWidth="1"/>
    <col min="22" max="22" width="13.125" style="2" customWidth="1"/>
    <col min="23" max="23" width="10.875" style="2" customWidth="1"/>
    <col min="24" max="24" width="10.625" style="2" customWidth="1"/>
    <col min="25" max="25" width="4.125" style="2" customWidth="1"/>
    <col min="26" max="26" width="2.875" style="2" customWidth="1"/>
    <col min="27" max="27" width="7.125" style="2" customWidth="1"/>
    <col min="28" max="28" width="4.00390625" style="2" customWidth="1"/>
    <col min="29" max="29" width="13.875" style="2" customWidth="1"/>
    <col min="30" max="30" width="18.375" style="2" customWidth="1"/>
    <col min="31" max="31" width="17.125" style="2" customWidth="1"/>
    <col min="32" max="16384" width="11.375" style="2" customWidth="1"/>
  </cols>
  <sheetData>
    <row r="1" spans="1:17" ht="18">
      <c r="A1" s="120" t="s">
        <v>45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</row>
    <row r="2" spans="1:17" ht="18">
      <c r="A2" s="120" t="s">
        <v>62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</row>
    <row r="3" spans="1:17" ht="18">
      <c r="A3" s="120" t="s">
        <v>63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</row>
    <row r="4" spans="1:17" ht="18">
      <c r="A4" s="120" t="s">
        <v>55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</row>
    <row r="5" spans="1:17" ht="18">
      <c r="A5" s="118" t="s">
        <v>64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</row>
    <row r="6" spans="1:22" ht="18">
      <c r="A6" s="121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U6" s="4"/>
      <c r="V6" s="4"/>
    </row>
    <row r="7" spans="1:24" ht="18">
      <c r="A7" s="5"/>
      <c r="B7" s="6" t="s">
        <v>0</v>
      </c>
      <c r="C7" s="7"/>
      <c r="D7" s="8" t="s">
        <v>1</v>
      </c>
      <c r="E7" s="9"/>
      <c r="F7" s="10"/>
      <c r="G7" s="8" t="s">
        <v>2</v>
      </c>
      <c r="H7" s="11"/>
      <c r="I7" s="12" t="s">
        <v>3</v>
      </c>
      <c r="J7" s="9" t="s">
        <v>31</v>
      </c>
      <c r="K7" s="13" t="s">
        <v>4</v>
      </c>
      <c r="L7" s="13" t="s">
        <v>5</v>
      </c>
      <c r="M7" s="13" t="s">
        <v>32</v>
      </c>
      <c r="N7" s="12" t="s">
        <v>6</v>
      </c>
      <c r="O7" s="11" t="s">
        <v>7</v>
      </c>
      <c r="P7" s="14" t="s">
        <v>28</v>
      </c>
      <c r="Q7" s="15"/>
      <c r="T7" s="4"/>
      <c r="U7" s="4" t="s">
        <v>33</v>
      </c>
      <c r="V7" s="4" t="s">
        <v>47</v>
      </c>
      <c r="W7" s="4" t="s">
        <v>8</v>
      </c>
      <c r="X7" s="4" t="s">
        <v>9</v>
      </c>
    </row>
    <row r="8" spans="1:31" ht="18">
      <c r="A8" s="16"/>
      <c r="B8" s="17"/>
      <c r="C8" s="18" t="s">
        <v>10</v>
      </c>
      <c r="D8" s="19" t="s">
        <v>27</v>
      </c>
      <c r="E8" s="11"/>
      <c r="F8" s="20" t="s">
        <v>10</v>
      </c>
      <c r="G8" s="13" t="s">
        <v>27</v>
      </c>
      <c r="H8" s="11"/>
      <c r="I8" s="21" t="s">
        <v>11</v>
      </c>
      <c r="J8" s="19" t="s">
        <v>29</v>
      </c>
      <c r="K8" s="20" t="s">
        <v>12</v>
      </c>
      <c r="L8" s="20" t="s">
        <v>13</v>
      </c>
      <c r="M8" s="20" t="s">
        <v>13</v>
      </c>
      <c r="N8" s="20" t="s">
        <v>14</v>
      </c>
      <c r="O8" s="21" t="s">
        <v>14</v>
      </c>
      <c r="P8" s="18" t="s">
        <v>13</v>
      </c>
      <c r="Q8" s="18" t="s">
        <v>30</v>
      </c>
      <c r="R8" s="22" t="s">
        <v>15</v>
      </c>
      <c r="S8" s="22" t="s">
        <v>16</v>
      </c>
      <c r="T8" s="22" t="s">
        <v>35</v>
      </c>
      <c r="U8" s="22" t="s">
        <v>34</v>
      </c>
      <c r="V8" s="22" t="s">
        <v>48</v>
      </c>
      <c r="W8" s="22" t="s">
        <v>17</v>
      </c>
      <c r="X8" s="22" t="s">
        <v>17</v>
      </c>
      <c r="AC8" s="22" t="s">
        <v>18</v>
      </c>
      <c r="AD8" s="22" t="s">
        <v>19</v>
      </c>
      <c r="AE8" s="22" t="s">
        <v>20</v>
      </c>
    </row>
    <row r="9" spans="1:31" ht="20.25">
      <c r="A9" s="23"/>
      <c r="B9" s="24" t="s">
        <v>58</v>
      </c>
      <c r="C9" s="110">
        <v>8</v>
      </c>
      <c r="D9" s="111">
        <v>57.3</v>
      </c>
      <c r="E9" s="112" t="s">
        <v>21</v>
      </c>
      <c r="F9" s="113">
        <v>79</v>
      </c>
      <c r="G9" s="111">
        <v>34.15</v>
      </c>
      <c r="H9" s="114" t="s">
        <v>22</v>
      </c>
      <c r="I9" s="53">
        <f aca="true" t="shared" si="0" ref="I9:I59">IF(R9=1,AE9,IF(S9=1,AE9,IF(T9=1,AE9,"")))</f>
      </c>
      <c r="J9" s="26"/>
      <c r="K9" s="27"/>
      <c r="L9" s="28"/>
      <c r="M9" s="29"/>
      <c r="N9" s="30"/>
      <c r="O9" s="31">
        <v>36090.666666666664</v>
      </c>
      <c r="P9" s="32">
        <v>0</v>
      </c>
      <c r="Q9" s="32">
        <v>0</v>
      </c>
      <c r="R9" s="2">
        <f aca="true" t="shared" si="1" ref="R9:R59">IF(A9="R",1,0)</f>
        <v>0</v>
      </c>
      <c r="S9" s="2">
        <f aca="true" t="shared" si="2" ref="S9:S59">IF(A9="V",1,0)</f>
        <v>0</v>
      </c>
      <c r="T9" s="2">
        <f aca="true" t="shared" si="3" ref="T9:T23">IF(A9="R E",1,0)</f>
        <v>0</v>
      </c>
      <c r="U9" s="2">
        <f aca="true" t="shared" si="4" ref="U9:U15">IF(A9="S",1,0)</f>
        <v>0</v>
      </c>
      <c r="V9" s="2">
        <f aca="true" t="shared" si="5" ref="V9:V32">IF(A9="D",1,0)</f>
        <v>0</v>
      </c>
      <c r="W9" s="33">
        <f aca="true" t="shared" si="6" ref="W9:W59">IF(E9="N",1,-1)</f>
        <v>1</v>
      </c>
      <c r="X9" s="34">
        <f aca="true" t="shared" si="7" ref="X9:X59">IF(H9="W",1,-1)</f>
        <v>1</v>
      </c>
      <c r="Y9" s="2">
        <f aca="true" t="shared" si="8" ref="Y9:Y59">C9</f>
        <v>8</v>
      </c>
      <c r="Z9" s="2" t="str">
        <f aca="true" t="shared" si="9" ref="Z9:AA15">E9</f>
        <v>N</v>
      </c>
      <c r="AA9" s="2">
        <f t="shared" si="9"/>
        <v>79</v>
      </c>
      <c r="AB9" s="2">
        <f aca="true" t="shared" si="10" ref="AB9:AB59">IF(R9=1,"R",IF(S9=1,"V",0))</f>
        <v>0</v>
      </c>
      <c r="AC9" s="35">
        <f aca="true" t="shared" si="11" ref="AC9:AC59">IF(R9=1,N9,IF(S9=1,N9,IF(T9=1,N9,IF(U9=1,N9,IF(V9=1,N9,0)))))</f>
        <v>0</v>
      </c>
      <c r="AD9" s="36"/>
      <c r="AE9" s="35">
        <f aca="true" t="shared" si="12" ref="AE9:AE61">(AC9-AD9)/30.5</f>
        <v>0</v>
      </c>
    </row>
    <row r="10" spans="1:31" ht="18">
      <c r="A10" s="37"/>
      <c r="B10" s="38" t="s">
        <v>61</v>
      </c>
      <c r="C10" s="39">
        <v>7</v>
      </c>
      <c r="D10" s="40">
        <v>16.1</v>
      </c>
      <c r="E10" s="115" t="s">
        <v>21</v>
      </c>
      <c r="F10" s="41">
        <v>79</v>
      </c>
      <c r="G10" s="40">
        <v>44.5</v>
      </c>
      <c r="H10" s="116" t="s">
        <v>22</v>
      </c>
      <c r="I10" s="53">
        <f t="shared" si="0"/>
      </c>
      <c r="J10" s="42">
        <f aca="true" t="shared" si="13" ref="J10:J16">180/PI()*60*ACOS((SIN(PI()/180*W9*(C9+D9/60))*SIN(PI()/180*W10*(C10+D10/60)))+(COS(PI()/180*W9*(C9+D9/60))*COS(PI()/180*W10*(C10+D10/60))*COS(PI()/180*(X10*(F10+G10/60)-X9*(F9+G9/60)))))</f>
        <v>101.71736156979073</v>
      </c>
      <c r="K10" s="27">
        <v>12.5</v>
      </c>
      <c r="L10" s="43">
        <f aca="true" t="shared" si="14" ref="L10:L16">J10/K10</f>
        <v>8.137388925583258</v>
      </c>
      <c r="M10" s="29">
        <f>IF(R10=1,12,IF(S10=1,4,IF(T10=1,6,IF(U10=1,8,IF(V10=1,5,1)))))-1</f>
        <v>0</v>
      </c>
      <c r="N10" s="44">
        <f>O9+L10/24</f>
        <v>36091.00572453856</v>
      </c>
      <c r="O10" s="45">
        <f aca="true" t="shared" si="15" ref="O10:O16">N10+M10/24</f>
        <v>36091.00572453856</v>
      </c>
      <c r="P10" s="46">
        <f aca="true" t="shared" si="16" ref="P10:P15">P9+L10+M10</f>
        <v>8.137388925583258</v>
      </c>
      <c r="Q10" s="46">
        <f>P10/24</f>
        <v>0.3390578718993024</v>
      </c>
      <c r="R10" s="68">
        <f t="shared" si="1"/>
        <v>0</v>
      </c>
      <c r="S10" s="2">
        <f t="shared" si="2"/>
        <v>0</v>
      </c>
      <c r="T10" s="2">
        <f t="shared" si="3"/>
        <v>0</v>
      </c>
      <c r="U10" s="2">
        <f t="shared" si="4"/>
        <v>0</v>
      </c>
      <c r="V10" s="2">
        <f t="shared" si="5"/>
        <v>0</v>
      </c>
      <c r="W10" s="33">
        <f t="shared" si="6"/>
        <v>1</v>
      </c>
      <c r="X10" s="34">
        <f t="shared" si="7"/>
        <v>1</v>
      </c>
      <c r="Y10" s="2">
        <f t="shared" si="8"/>
        <v>7</v>
      </c>
      <c r="Z10" s="2" t="str">
        <f>E10</f>
        <v>N</v>
      </c>
      <c r="AA10" s="2">
        <f>F10</f>
        <v>79</v>
      </c>
      <c r="AB10" s="2">
        <f t="shared" si="10"/>
        <v>0</v>
      </c>
      <c r="AC10" s="35">
        <f t="shared" si="11"/>
        <v>0</v>
      </c>
      <c r="AD10" s="47">
        <v>35014</v>
      </c>
      <c r="AE10" s="48">
        <f>(AC10-AD10)/30.5</f>
        <v>-1148</v>
      </c>
    </row>
    <row r="11" spans="1:31" ht="18">
      <c r="A11" s="37"/>
      <c r="B11" s="38" t="s">
        <v>61</v>
      </c>
      <c r="C11" s="39">
        <v>6</v>
      </c>
      <c r="D11" s="40">
        <v>49.1</v>
      </c>
      <c r="E11" s="115" t="s">
        <v>21</v>
      </c>
      <c r="F11" s="41">
        <v>81</v>
      </c>
      <c r="G11" s="40">
        <v>39</v>
      </c>
      <c r="H11" s="116" t="s">
        <v>22</v>
      </c>
      <c r="I11" s="53">
        <f>IF(R11=1,AE11,IF(S11=1,AE11,IF(T11=1,AE11,"")))</f>
      </c>
      <c r="J11" s="42">
        <f t="shared" si="13"/>
        <v>116.79914970924646</v>
      </c>
      <c r="K11" s="27">
        <v>12.5</v>
      </c>
      <c r="L11" s="43">
        <f t="shared" si="14"/>
        <v>9.343931976739718</v>
      </c>
      <c r="M11" s="29">
        <f>IF(R11=1,12,IF(S11=1,4,IF(T11=1,6,IF(U11=1,8,IF(V11=1,5,1)))))-1</f>
        <v>0</v>
      </c>
      <c r="N11" s="44">
        <f>O10+L11/24</f>
        <v>36091.395055037596</v>
      </c>
      <c r="O11" s="45">
        <f t="shared" si="15"/>
        <v>36091.395055037596</v>
      </c>
      <c r="P11" s="46">
        <f t="shared" si="16"/>
        <v>17.481320902322977</v>
      </c>
      <c r="Q11" s="46">
        <f>P11/24</f>
        <v>0.7283883709301241</v>
      </c>
      <c r="R11" s="68">
        <f t="shared" si="1"/>
        <v>0</v>
      </c>
      <c r="S11" s="2">
        <f t="shared" si="2"/>
        <v>0</v>
      </c>
      <c r="T11" s="2">
        <f t="shared" si="3"/>
        <v>0</v>
      </c>
      <c r="U11" s="2">
        <f t="shared" si="4"/>
        <v>0</v>
      </c>
      <c r="V11" s="2">
        <f t="shared" si="5"/>
        <v>0</v>
      </c>
      <c r="W11" s="33">
        <f t="shared" si="6"/>
        <v>1</v>
      </c>
      <c r="X11" s="34">
        <f t="shared" si="7"/>
        <v>1</v>
      </c>
      <c r="Y11" s="2">
        <f t="shared" si="8"/>
        <v>6</v>
      </c>
      <c r="Z11" s="2" t="str">
        <f>E11</f>
        <v>N</v>
      </c>
      <c r="AA11" s="2">
        <f>F11</f>
        <v>81</v>
      </c>
      <c r="AB11" s="2">
        <f t="shared" si="10"/>
        <v>0</v>
      </c>
      <c r="AC11" s="35">
        <f t="shared" si="11"/>
        <v>0</v>
      </c>
      <c r="AD11" s="47">
        <v>35014</v>
      </c>
      <c r="AE11" s="48">
        <f>(AC11-AD11)/30.5</f>
        <v>-1148</v>
      </c>
    </row>
    <row r="12" spans="1:31" ht="18">
      <c r="A12" s="37" t="s">
        <v>24</v>
      </c>
      <c r="B12" s="38" t="s">
        <v>65</v>
      </c>
      <c r="C12" s="39">
        <v>12</v>
      </c>
      <c r="D12" s="40">
        <v>0</v>
      </c>
      <c r="E12" s="115" t="s">
        <v>21</v>
      </c>
      <c r="F12" s="41">
        <v>95</v>
      </c>
      <c r="G12" s="40">
        <v>0</v>
      </c>
      <c r="H12" s="116" t="s">
        <v>22</v>
      </c>
      <c r="I12" s="53">
        <f>IF(R12=1,AE12,IF(S12=1,AE12,IF(T12=1,AE12,"")))</f>
        <v>35.41720034853607</v>
      </c>
      <c r="J12" s="42">
        <f t="shared" si="13"/>
        <v>848.8666778256732</v>
      </c>
      <c r="K12" s="27">
        <v>12.5</v>
      </c>
      <c r="L12" s="43">
        <f t="shared" si="14"/>
        <v>67.90933422605386</v>
      </c>
      <c r="M12" s="29">
        <f>IF(R12=1,12,IF(S12=1,4,IF(T12=1,6,IF(U12=1,8,IF(V12=1,5,1)))))-4</f>
        <v>8</v>
      </c>
      <c r="N12" s="44">
        <f aca="true" t="shared" si="17" ref="N12:N25">O11+L12/24</f>
        <v>36094.22461063035</v>
      </c>
      <c r="O12" s="45">
        <f t="shared" si="15"/>
        <v>36094.557943963686</v>
      </c>
      <c r="P12" s="46">
        <f t="shared" si="16"/>
        <v>93.39065512837684</v>
      </c>
      <c r="Q12" s="46">
        <f>P12/24</f>
        <v>3.8912772970157015</v>
      </c>
      <c r="R12" s="68">
        <f>IF(A12="R",1,0)</f>
        <v>1</v>
      </c>
      <c r="S12" s="2">
        <f>IF(A12="V",1,0)</f>
        <v>0</v>
      </c>
      <c r="T12" s="2">
        <f>IF(A12="R E",1,0)</f>
        <v>0</v>
      </c>
      <c r="U12" s="2">
        <f t="shared" si="4"/>
        <v>0</v>
      </c>
      <c r="V12" s="2">
        <f>IF(A12="D",1,0)</f>
        <v>0</v>
      </c>
      <c r="W12" s="33">
        <f>IF(E12="N",1,-1)</f>
        <v>1</v>
      </c>
      <c r="X12" s="34">
        <f>IF(H12="W",1,-1)</f>
        <v>1</v>
      </c>
      <c r="Y12" s="2">
        <f>C12</f>
        <v>12</v>
      </c>
      <c r="Z12" s="2" t="str">
        <f t="shared" si="9"/>
        <v>N</v>
      </c>
      <c r="AA12" s="2">
        <f t="shared" si="9"/>
        <v>95</v>
      </c>
      <c r="AB12" s="2" t="str">
        <f>IF(R12=1,"R",IF(S12=1,"V",0))</f>
        <v>R</v>
      </c>
      <c r="AC12" s="35">
        <f>IF(R12=1,N12,IF(S12=1,N12,IF(T12=1,N12,IF(U12=1,N12,IF(V12=1,N12,0)))))</f>
        <v>36094.22461063035</v>
      </c>
      <c r="AD12" s="47">
        <v>35014</v>
      </c>
      <c r="AE12" s="48">
        <f t="shared" si="12"/>
        <v>35.41720034853607</v>
      </c>
    </row>
    <row r="13" spans="1:31" ht="18">
      <c r="A13" s="37"/>
      <c r="B13" s="38" t="s">
        <v>23</v>
      </c>
      <c r="C13" s="39">
        <v>11</v>
      </c>
      <c r="D13" s="40">
        <v>0</v>
      </c>
      <c r="E13" s="115" t="s">
        <v>21</v>
      </c>
      <c r="F13" s="41">
        <v>95</v>
      </c>
      <c r="G13" s="40">
        <v>0</v>
      </c>
      <c r="H13" s="116" t="s">
        <v>22</v>
      </c>
      <c r="I13" s="53"/>
      <c r="J13" s="26">
        <f t="shared" si="13"/>
        <v>59.999999999971834</v>
      </c>
      <c r="K13" s="27">
        <v>12.5</v>
      </c>
      <c r="L13" s="28">
        <f t="shared" si="14"/>
        <v>4.7999999999977465</v>
      </c>
      <c r="M13" s="29">
        <f>IF(R13=1,12,IF(S13=1,4,IF(T13=1,6,IF(U13=1,8,IF(V13=1,5,1)))))</f>
        <v>1</v>
      </c>
      <c r="N13" s="51">
        <f>O12+L13/24</f>
        <v>36094.75794396368</v>
      </c>
      <c r="O13" s="31">
        <f t="shared" si="15"/>
        <v>36094.79961063035</v>
      </c>
      <c r="P13" s="46">
        <f t="shared" si="16"/>
        <v>99.19065512837459</v>
      </c>
      <c r="Q13" s="46">
        <f>P13/24</f>
        <v>4.1329439636822745</v>
      </c>
      <c r="R13" s="2">
        <f>IF(A13="R",1,0)</f>
        <v>0</v>
      </c>
      <c r="S13" s="2">
        <f>IF(A13="V",1,0)</f>
        <v>0</v>
      </c>
      <c r="T13" s="2">
        <f>IF(A13="R E",1,0)</f>
        <v>0</v>
      </c>
      <c r="U13" s="2">
        <f t="shared" si="4"/>
        <v>0</v>
      </c>
      <c r="V13" s="2">
        <f>IF(A13="D",1,0)</f>
        <v>0</v>
      </c>
      <c r="W13" s="33">
        <f>IF(E13="N",1,-1)</f>
        <v>1</v>
      </c>
      <c r="X13" s="34">
        <f>IF(H13="W",1,-1)</f>
        <v>1</v>
      </c>
      <c r="Y13" s="2">
        <f>C13</f>
        <v>11</v>
      </c>
      <c r="Z13" s="2" t="str">
        <f t="shared" si="9"/>
        <v>N</v>
      </c>
      <c r="AA13" s="2">
        <f t="shared" si="9"/>
        <v>95</v>
      </c>
      <c r="AB13" s="2">
        <f>IF(R13=1,"R",IF(S13=1,"V",0))</f>
        <v>0</v>
      </c>
      <c r="AC13" s="35">
        <f>IF(R13=1,N13,IF(S13=1,N13,IF(T13=1,N13,IF(U13=1,N13,IF(V13=1,N13,0)))))</f>
        <v>0</v>
      </c>
      <c r="AD13" s="36"/>
      <c r="AE13" s="35">
        <f>(AC13-AD13)/30.5</f>
        <v>0</v>
      </c>
    </row>
    <row r="14" spans="1:31" ht="18">
      <c r="A14" s="37" t="s">
        <v>24</v>
      </c>
      <c r="B14" s="38" t="s">
        <v>65</v>
      </c>
      <c r="C14" s="39">
        <v>10</v>
      </c>
      <c r="D14" s="40">
        <v>0</v>
      </c>
      <c r="E14" s="115" t="s">
        <v>21</v>
      </c>
      <c r="F14" s="41">
        <v>95</v>
      </c>
      <c r="G14" s="40">
        <v>0</v>
      </c>
      <c r="H14" s="116" t="s">
        <v>22</v>
      </c>
      <c r="I14" s="53"/>
      <c r="J14" s="26">
        <f t="shared" si="13"/>
        <v>60.00000000001535</v>
      </c>
      <c r="K14" s="27">
        <v>12.5</v>
      </c>
      <c r="L14" s="28">
        <f t="shared" si="14"/>
        <v>4.800000000001228</v>
      </c>
      <c r="M14" s="29">
        <f>IF(R14=1,12,IF(S14=1,4,IF(T14=1,6,IF(U14=1,8,IF(V14=1,5,1)))))</f>
        <v>12</v>
      </c>
      <c r="N14" s="51">
        <f t="shared" si="17"/>
        <v>36094.999610630344</v>
      </c>
      <c r="O14" s="31">
        <f t="shared" si="15"/>
        <v>36095.499610630344</v>
      </c>
      <c r="P14" s="46">
        <f t="shared" si="16"/>
        <v>115.99065512837582</v>
      </c>
      <c r="Q14" s="46">
        <f>P14/24</f>
        <v>4.832943963682326</v>
      </c>
      <c r="R14" s="2">
        <f>IF(A14="R",1,0)</f>
        <v>1</v>
      </c>
      <c r="S14" s="2">
        <f>IF(A14="V",1,0)</f>
        <v>0</v>
      </c>
      <c r="T14" s="2">
        <f>IF(A14="R E",1,0)</f>
        <v>0</v>
      </c>
      <c r="U14" s="2">
        <f t="shared" si="4"/>
        <v>0</v>
      </c>
      <c r="V14" s="2">
        <f>IF(A14="D",1,0)</f>
        <v>0</v>
      </c>
      <c r="W14" s="33">
        <f>IF(E14="N",1,-1)</f>
        <v>1</v>
      </c>
      <c r="X14" s="34">
        <f>IF(H14="W",1,-1)</f>
        <v>1</v>
      </c>
      <c r="Y14" s="2">
        <f>C14</f>
        <v>10</v>
      </c>
      <c r="Z14" s="2" t="str">
        <f t="shared" si="9"/>
        <v>N</v>
      </c>
      <c r="AA14" s="2">
        <f t="shared" si="9"/>
        <v>95</v>
      </c>
      <c r="AB14" s="2" t="str">
        <f>IF(R14=1,"R",IF(S14=1,"V",0))</f>
        <v>R</v>
      </c>
      <c r="AC14" s="35">
        <f>IF(R14=1,N14,IF(S14=1,N14,IF(T14=1,N14,IF(U14=1,N14,IF(V14=1,N14,0)))))</f>
        <v>36094.999610630344</v>
      </c>
      <c r="AD14" s="36"/>
      <c r="AE14" s="35">
        <f>(AC14-AD14)/30.5</f>
        <v>1183.4426101846016</v>
      </c>
    </row>
    <row r="15" spans="1:31" ht="18">
      <c r="A15" s="37"/>
      <c r="B15" s="38" t="s">
        <v>23</v>
      </c>
      <c r="C15" s="39">
        <v>9</v>
      </c>
      <c r="D15" s="40">
        <v>0</v>
      </c>
      <c r="E15" s="115" t="s">
        <v>21</v>
      </c>
      <c r="F15" s="41">
        <v>95</v>
      </c>
      <c r="G15" s="40">
        <v>0</v>
      </c>
      <c r="H15" s="116" t="s">
        <v>22</v>
      </c>
      <c r="I15" s="53"/>
      <c r="J15" s="26">
        <f t="shared" si="13"/>
        <v>59.999999999993975</v>
      </c>
      <c r="K15" s="27">
        <v>12.5</v>
      </c>
      <c r="L15" s="28">
        <f t="shared" si="14"/>
        <v>4.7999999999995175</v>
      </c>
      <c r="M15" s="29">
        <f>IF(R15=1,12,IF(S15=1,4,IF(T15=1,6,IF(U15=1,8,IF(V15=1,5,1)))))</f>
        <v>1</v>
      </c>
      <c r="N15" s="51">
        <f t="shared" si="17"/>
        <v>36095.69961063034</v>
      </c>
      <c r="O15" s="31">
        <f t="shared" si="15"/>
        <v>36095.741277297006</v>
      </c>
      <c r="P15" s="46">
        <f t="shared" si="16"/>
        <v>121.79065512837533</v>
      </c>
      <c r="Q15" s="46">
        <f aca="true" t="shared" si="18" ref="Q15:Q35">P15/24</f>
        <v>5.074610630348972</v>
      </c>
      <c r="R15" s="2">
        <f>IF(A15="R",1,0)</f>
        <v>0</v>
      </c>
      <c r="S15" s="2">
        <f>IF(A15="V",1,0)</f>
        <v>0</v>
      </c>
      <c r="T15" s="2">
        <f>IF(A15="R E",1,0)</f>
        <v>0</v>
      </c>
      <c r="U15" s="2">
        <f t="shared" si="4"/>
        <v>0</v>
      </c>
      <c r="V15" s="2">
        <f>IF(A15="D",1,0)</f>
        <v>0</v>
      </c>
      <c r="W15" s="33">
        <f>IF(E15="N",1,-1)</f>
        <v>1</v>
      </c>
      <c r="X15" s="34">
        <f>IF(H15="W",1,-1)</f>
        <v>1</v>
      </c>
      <c r="Y15" s="2">
        <f>C15</f>
        <v>9</v>
      </c>
      <c r="Z15" s="2" t="str">
        <f t="shared" si="9"/>
        <v>N</v>
      </c>
      <c r="AA15" s="2">
        <f t="shared" si="9"/>
        <v>95</v>
      </c>
      <c r="AB15" s="2">
        <f>IF(R15=1,"R",IF(S15=1,"V",0))</f>
        <v>0</v>
      </c>
      <c r="AC15" s="35">
        <f>IF(R15=1,N15,IF(S15=1,N15,IF(T15=1,N15,IF(U15=1,N15,IF(V15=1,N15,0)))))</f>
        <v>0</v>
      </c>
      <c r="AD15" s="36"/>
      <c r="AE15" s="35">
        <f>(AC15-AD15)/30.5</f>
        <v>0</v>
      </c>
    </row>
    <row r="16" spans="1:31" ht="18">
      <c r="A16" s="37" t="s">
        <v>24</v>
      </c>
      <c r="B16" s="38" t="s">
        <v>66</v>
      </c>
      <c r="C16" s="39">
        <v>8</v>
      </c>
      <c r="D16" s="40">
        <v>0</v>
      </c>
      <c r="E16" s="115" t="s">
        <v>21</v>
      </c>
      <c r="F16" s="41">
        <v>95</v>
      </c>
      <c r="G16" s="40">
        <v>0</v>
      </c>
      <c r="H16" s="116" t="s">
        <v>22</v>
      </c>
      <c r="I16" s="116">
        <f>IF(R16=1,AE16,IF(S16=1,AE16,IF(T16=1,AE16,"")))</f>
        <v>35.40791073104927</v>
      </c>
      <c r="J16" s="26">
        <f t="shared" si="13"/>
        <v>59.999999999993975</v>
      </c>
      <c r="K16" s="27">
        <v>12.5</v>
      </c>
      <c r="L16" s="28">
        <f t="shared" si="14"/>
        <v>4.7999999999995175</v>
      </c>
      <c r="M16" s="29">
        <f>IF(R16=1,12,IF(S16=1,4,IF(T16=1,6,IF(U16=1,8,IF(V16=1,5,1)))))+6</f>
        <v>18</v>
      </c>
      <c r="N16" s="44">
        <f t="shared" si="17"/>
        <v>36095.941277297</v>
      </c>
      <c r="O16" s="31">
        <f t="shared" si="15"/>
        <v>36096.691277297</v>
      </c>
      <c r="P16" s="46">
        <f>P12+L16+M16</f>
        <v>116.19065512837635</v>
      </c>
      <c r="Q16" s="46">
        <f>P16/24</f>
        <v>4.841277297015681</v>
      </c>
      <c r="R16" s="68">
        <f t="shared" si="1"/>
        <v>1</v>
      </c>
      <c r="S16" s="2">
        <f t="shared" si="2"/>
        <v>0</v>
      </c>
      <c r="T16" s="2">
        <f t="shared" si="3"/>
        <v>0</v>
      </c>
      <c r="U16" s="2">
        <f aca="true" t="shared" si="19" ref="U16:U35">IF(A16="S",1,0)</f>
        <v>0</v>
      </c>
      <c r="V16" s="2">
        <f t="shared" si="5"/>
        <v>0</v>
      </c>
      <c r="W16" s="33">
        <f t="shared" si="6"/>
        <v>1</v>
      </c>
      <c r="X16" s="34">
        <f t="shared" si="7"/>
        <v>1</v>
      </c>
      <c r="Y16" s="2">
        <f t="shared" si="8"/>
        <v>8</v>
      </c>
      <c r="Z16" s="2" t="str">
        <f aca="true" t="shared" si="20" ref="Z16:AA23">E16</f>
        <v>N</v>
      </c>
      <c r="AA16" s="2">
        <f t="shared" si="20"/>
        <v>95</v>
      </c>
      <c r="AB16" s="2" t="str">
        <f t="shared" si="10"/>
        <v>R</v>
      </c>
      <c r="AC16" s="35">
        <f t="shared" si="11"/>
        <v>36095.941277297</v>
      </c>
      <c r="AD16" s="47">
        <v>35016</v>
      </c>
      <c r="AE16" s="48">
        <f t="shared" si="12"/>
        <v>35.40791073104927</v>
      </c>
    </row>
    <row r="17" spans="1:31" ht="18">
      <c r="A17" s="23"/>
      <c r="B17" s="49" t="s">
        <v>23</v>
      </c>
      <c r="C17" s="3">
        <v>7</v>
      </c>
      <c r="D17" s="25">
        <v>0</v>
      </c>
      <c r="E17" s="52" t="s">
        <v>21</v>
      </c>
      <c r="F17" s="41">
        <v>95</v>
      </c>
      <c r="G17" s="25">
        <v>0</v>
      </c>
      <c r="H17" s="53" t="s">
        <v>22</v>
      </c>
      <c r="I17" s="53">
        <f t="shared" si="0"/>
      </c>
      <c r="J17" s="26">
        <f aca="true" t="shared" si="21" ref="J17:J35">180/PI()*60*ACOS((SIN(PI()/180*W16*(C16+D16/60))*SIN(PI()/180*W17*(C17+D17/60)))+(COS(PI()/180*W16*(C16+D16/60))*COS(PI()/180*W17*(C17+D17/60))*COS(PI()/180*(X17*(F17+G17/60)-X16*(F16+G16/60)))))</f>
        <v>60.00000000001535</v>
      </c>
      <c r="K17" s="27">
        <v>12.5</v>
      </c>
      <c r="L17" s="28">
        <f aca="true" t="shared" si="22" ref="L17:L59">J17/K17</f>
        <v>4.800000000001228</v>
      </c>
      <c r="M17" s="29">
        <f aca="true" t="shared" si="23" ref="M17:M24">IF(R17=1,12,IF(S17=1,4,IF(T17=1,6,IF(U17=1,8,IF(V17=1,5,1)))))</f>
        <v>1</v>
      </c>
      <c r="N17" s="51">
        <f t="shared" si="17"/>
        <v>36096.891277297</v>
      </c>
      <c r="O17" s="31">
        <f aca="true" t="shared" si="24" ref="O17:O59">N17+M17/24</f>
        <v>36096.932943963664</v>
      </c>
      <c r="P17" s="46">
        <f>P16+L17+M17</f>
        <v>121.99065512837758</v>
      </c>
      <c r="Q17" s="46">
        <f t="shared" si="18"/>
        <v>5.082943963682399</v>
      </c>
      <c r="R17" s="2">
        <f t="shared" si="1"/>
        <v>0</v>
      </c>
      <c r="S17" s="2">
        <f t="shared" si="2"/>
        <v>0</v>
      </c>
      <c r="T17" s="2">
        <f t="shared" si="3"/>
        <v>0</v>
      </c>
      <c r="U17" s="2">
        <f t="shared" si="19"/>
        <v>0</v>
      </c>
      <c r="V17" s="2">
        <f t="shared" si="5"/>
        <v>0</v>
      </c>
      <c r="W17" s="33">
        <f t="shared" si="6"/>
        <v>1</v>
      </c>
      <c r="X17" s="34">
        <f t="shared" si="7"/>
        <v>1</v>
      </c>
      <c r="Y17" s="2">
        <f t="shared" si="8"/>
        <v>7</v>
      </c>
      <c r="Z17" s="2" t="str">
        <f t="shared" si="20"/>
        <v>N</v>
      </c>
      <c r="AA17" s="2">
        <f t="shared" si="20"/>
        <v>95</v>
      </c>
      <c r="AB17" s="2">
        <f t="shared" si="10"/>
        <v>0</v>
      </c>
      <c r="AC17" s="35">
        <f t="shared" si="11"/>
        <v>0</v>
      </c>
      <c r="AD17" s="36"/>
      <c r="AE17" s="35">
        <f t="shared" si="12"/>
        <v>0</v>
      </c>
    </row>
    <row r="18" spans="1:31" ht="18">
      <c r="A18" s="37"/>
      <c r="B18" s="38" t="s">
        <v>23</v>
      </c>
      <c r="C18" s="39">
        <v>6</v>
      </c>
      <c r="D18" s="40">
        <v>0</v>
      </c>
      <c r="E18" s="115" t="s">
        <v>21</v>
      </c>
      <c r="F18" s="41">
        <v>95</v>
      </c>
      <c r="G18" s="40">
        <v>0</v>
      </c>
      <c r="H18" s="116" t="s">
        <v>22</v>
      </c>
      <c r="I18" s="116">
        <f aca="true" t="shared" si="25" ref="I18:I23">IF(R18=1,AE18,IF(S18=1,AE18,IF(T18=1,AE18,"")))</f>
      </c>
      <c r="J18" s="42">
        <f t="shared" si="21"/>
        <v>60.00000000003748</v>
      </c>
      <c r="K18" s="27">
        <v>12.5</v>
      </c>
      <c r="L18" s="43">
        <f t="shared" si="22"/>
        <v>4.800000000002998</v>
      </c>
      <c r="M18" s="29">
        <f t="shared" si="23"/>
        <v>1</v>
      </c>
      <c r="N18" s="44">
        <f t="shared" si="17"/>
        <v>36097.13294396366</v>
      </c>
      <c r="O18" s="45">
        <f t="shared" si="24"/>
        <v>36097.174610630325</v>
      </c>
      <c r="P18" s="46">
        <f aca="true" t="shared" si="26" ref="P18:P34">P17+L18+M18</f>
        <v>127.79065512838058</v>
      </c>
      <c r="Q18" s="46">
        <f t="shared" si="18"/>
        <v>5.3246106303491905</v>
      </c>
      <c r="R18" s="68">
        <f t="shared" si="1"/>
        <v>0</v>
      </c>
      <c r="S18" s="2">
        <f t="shared" si="2"/>
        <v>0</v>
      </c>
      <c r="T18" s="2">
        <f t="shared" si="3"/>
        <v>0</v>
      </c>
      <c r="U18" s="2">
        <f t="shared" si="19"/>
        <v>0</v>
      </c>
      <c r="V18" s="68">
        <f t="shared" si="5"/>
        <v>0</v>
      </c>
      <c r="W18" s="33">
        <f t="shared" si="6"/>
        <v>1</v>
      </c>
      <c r="X18" s="34">
        <f t="shared" si="7"/>
        <v>1</v>
      </c>
      <c r="Y18" s="2">
        <f t="shared" si="8"/>
        <v>6</v>
      </c>
      <c r="Z18" s="2" t="str">
        <f t="shared" si="20"/>
        <v>N</v>
      </c>
      <c r="AA18" s="2">
        <f t="shared" si="20"/>
        <v>95</v>
      </c>
      <c r="AB18" s="2">
        <f t="shared" si="10"/>
        <v>0</v>
      </c>
      <c r="AC18" s="35">
        <f t="shared" si="11"/>
        <v>0</v>
      </c>
      <c r="AD18" s="47">
        <v>35016</v>
      </c>
      <c r="AE18" s="48">
        <f t="shared" si="12"/>
        <v>-1148.0655737704917</v>
      </c>
    </row>
    <row r="19" spans="1:31" ht="18">
      <c r="A19" s="23" t="s">
        <v>24</v>
      </c>
      <c r="B19" s="49" t="s">
        <v>59</v>
      </c>
      <c r="C19" s="3">
        <v>5</v>
      </c>
      <c r="D19" s="25">
        <v>0</v>
      </c>
      <c r="E19" s="3" t="s">
        <v>21</v>
      </c>
      <c r="F19" s="41">
        <v>95</v>
      </c>
      <c r="G19" s="40">
        <v>0</v>
      </c>
      <c r="H19" s="50" t="s">
        <v>22</v>
      </c>
      <c r="I19" s="53">
        <f t="shared" si="25"/>
        <v>1183.5204790370597</v>
      </c>
      <c r="J19" s="26">
        <f>180/PI()*60*ACOS((SIN(PI()/180*W18*(C18+D18/60))*SIN(PI()/180*W19*(C19+D19/60)))+(COS(PI()/180*W18*(C18+D18/60))*COS(PI()/180*W19*(C19+D19/60))*COS(PI()/180*(X19*(F19+G19/60)-X18*(F18+G18/60)))))</f>
        <v>60.00000000001535</v>
      </c>
      <c r="K19" s="27">
        <v>12.5</v>
      </c>
      <c r="L19" s="28">
        <f aca="true" t="shared" si="27" ref="L19:L25">J19/K19</f>
        <v>4.800000000001228</v>
      </c>
      <c r="M19" s="29">
        <f t="shared" si="23"/>
        <v>12</v>
      </c>
      <c r="N19" s="44">
        <f t="shared" si="17"/>
        <v>36097.37461063032</v>
      </c>
      <c r="O19" s="31">
        <f aca="true" t="shared" si="28" ref="O19:O25">N19+M19/24</f>
        <v>36097.87461063032</v>
      </c>
      <c r="P19" s="46">
        <f t="shared" si="26"/>
        <v>144.5906551283818</v>
      </c>
      <c r="Q19" s="46">
        <f t="shared" si="18"/>
        <v>6.024610630349241</v>
      </c>
      <c r="R19" s="2">
        <f>IF(A19="R",1,0)</f>
        <v>1</v>
      </c>
      <c r="S19" s="2">
        <f>IF(A19="V",1,0)</f>
        <v>0</v>
      </c>
      <c r="T19" s="2">
        <f t="shared" si="3"/>
        <v>0</v>
      </c>
      <c r="U19" s="2">
        <f>IF(A19="S",1,0)</f>
        <v>0</v>
      </c>
      <c r="V19" s="2">
        <f>IF(A19="D",1,0)</f>
        <v>0</v>
      </c>
      <c r="W19" s="33">
        <f>IF(E19="N",1,-1)</f>
        <v>1</v>
      </c>
      <c r="X19" s="34">
        <f>IF(H19="W",1,-1)</f>
        <v>1</v>
      </c>
      <c r="Y19" s="2">
        <f>C19</f>
        <v>5</v>
      </c>
      <c r="Z19" s="2" t="str">
        <f t="shared" si="20"/>
        <v>N</v>
      </c>
      <c r="AA19" s="2">
        <f t="shared" si="20"/>
        <v>95</v>
      </c>
      <c r="AB19" s="2" t="str">
        <f>IF(R19=1,"R",IF(S19=1,"V",0))</f>
        <v>R</v>
      </c>
      <c r="AC19" s="35">
        <f>IF(R19=1,N19,IF(S19=1,N19,IF(T19=1,N19,IF(U19=1,N19,IF(V19=1,N19,0)))))</f>
        <v>36097.37461063032</v>
      </c>
      <c r="AD19" s="36"/>
      <c r="AE19" s="35">
        <f>(AC19-AD19)/30.5</f>
        <v>1183.5204790370597</v>
      </c>
    </row>
    <row r="20" spans="1:31" ht="18">
      <c r="A20" s="23" t="s">
        <v>24</v>
      </c>
      <c r="B20" s="49" t="s">
        <v>68</v>
      </c>
      <c r="C20" s="3">
        <v>4</v>
      </c>
      <c r="D20" s="25">
        <v>30</v>
      </c>
      <c r="E20" s="3" t="s">
        <v>21</v>
      </c>
      <c r="F20" s="41">
        <v>97</v>
      </c>
      <c r="G20" s="40">
        <v>0</v>
      </c>
      <c r="H20" s="50" t="s">
        <v>22</v>
      </c>
      <c r="I20" s="53">
        <f t="shared" si="25"/>
        <v>1183.5503471200072</v>
      </c>
      <c r="J20" s="26">
        <f>180/PI()*60*ACOS((SIN(PI()/180*W19*(C19+D19/60))*SIN(PI()/180*W20*(C20+D20/60)))+(COS(PI()/180*W19*(C19+D19/60))*COS(PI()/180*W20*(C20+D20/60))*COS(PI()/180*(X20*(F20+G20/60)-X19*(F19+G19/60)))))</f>
        <v>123.29295897035914</v>
      </c>
      <c r="K20" s="27">
        <v>12.5</v>
      </c>
      <c r="L20" s="28">
        <f t="shared" si="27"/>
        <v>9.863436717628732</v>
      </c>
      <c r="M20" s="29">
        <f>IF(R20=1,12,IF(S20=1,4,IF(T20=1,6,IF(U20=1,8,IF(V20=1,5,1)))))-6</f>
        <v>6</v>
      </c>
      <c r="N20" s="44">
        <f>O19+L20/24</f>
        <v>36098.28558716022</v>
      </c>
      <c r="O20" s="31">
        <f t="shared" si="28"/>
        <v>36098.53558716022</v>
      </c>
      <c r="P20" s="46">
        <f>P19+L20+M20</f>
        <v>160.45409184601053</v>
      </c>
      <c r="Q20" s="46">
        <f t="shared" si="18"/>
        <v>6.685587160250439</v>
      </c>
      <c r="R20" s="2">
        <f>IF(A20="R",1,0)</f>
        <v>1</v>
      </c>
      <c r="S20" s="2">
        <f>IF(A20="V",1,0)</f>
        <v>0</v>
      </c>
      <c r="T20" s="2">
        <f>IF(A20="R E",1,0)</f>
        <v>0</v>
      </c>
      <c r="U20" s="2">
        <f>IF(A20="S",1,0)</f>
        <v>0</v>
      </c>
      <c r="V20" s="2">
        <f>IF(A20="D",1,0)</f>
        <v>0</v>
      </c>
      <c r="W20" s="33">
        <f>IF(E20="N",1,-1)</f>
        <v>1</v>
      </c>
      <c r="X20" s="34">
        <f>IF(H20="W",1,-1)</f>
        <v>1</v>
      </c>
      <c r="Y20" s="2">
        <f>C20</f>
        <v>4</v>
      </c>
      <c r="Z20" s="2" t="str">
        <f aca="true" t="shared" si="29" ref="Z20:AA22">E20</f>
        <v>N</v>
      </c>
      <c r="AA20" s="2">
        <f t="shared" si="29"/>
        <v>97</v>
      </c>
      <c r="AB20" s="2" t="str">
        <f>IF(R20=1,"R",IF(S20=1,"V",0))</f>
        <v>R</v>
      </c>
      <c r="AC20" s="35">
        <f>IF(R20=1,N20,IF(S20=1,N20,IF(T20=1,N20,IF(U20=1,N20,IF(V20=1,N20,0)))))</f>
        <v>36098.28558716022</v>
      </c>
      <c r="AD20" s="36"/>
      <c r="AE20" s="35">
        <f>(AC20-AD20)/30.5</f>
        <v>1183.5503471200072</v>
      </c>
    </row>
    <row r="21" spans="1:31" ht="18">
      <c r="A21" s="23"/>
      <c r="B21" s="49" t="s">
        <v>23</v>
      </c>
      <c r="C21" s="3">
        <v>4</v>
      </c>
      <c r="D21" s="25">
        <v>0</v>
      </c>
      <c r="E21" s="3" t="s">
        <v>21</v>
      </c>
      <c r="F21" s="41">
        <v>95</v>
      </c>
      <c r="G21" s="40">
        <v>0</v>
      </c>
      <c r="H21" s="50" t="s">
        <v>22</v>
      </c>
      <c r="I21" s="53">
        <f t="shared" si="25"/>
      </c>
      <c r="J21" s="26">
        <f>180/PI()*60*ACOS((SIN(PI()/180*W19*(C19+D19/60))*SIN(PI()/180*W21*(C21+D21/60)))+(COS(PI()/180*W19*(C19+D19/60))*COS(PI()/180*W21*(C21+D21/60))*COS(PI()/180*(X21*(F21+G21/60)-X19*(F19+G19/60)))))</f>
        <v>60.00000000001535</v>
      </c>
      <c r="K21" s="27">
        <v>12.5</v>
      </c>
      <c r="L21" s="28">
        <f t="shared" si="27"/>
        <v>4.800000000001228</v>
      </c>
      <c r="M21" s="29">
        <f>IF(R21=1,12,IF(S21=1,4,IF(T21=1,6,IF(U21=1,8,IF(V21=1,5,1)))))</f>
        <v>1</v>
      </c>
      <c r="N21" s="44">
        <f>O19+L21/24</f>
        <v>36098.07461063032</v>
      </c>
      <c r="O21" s="31">
        <f t="shared" si="28"/>
        <v>36098.116277296984</v>
      </c>
      <c r="P21" s="46">
        <f>P19+L21+M21</f>
        <v>150.39065512838303</v>
      </c>
      <c r="Q21" s="46">
        <f t="shared" si="18"/>
        <v>6.26627729701596</v>
      </c>
      <c r="R21" s="2">
        <f>IF(A21="R",1,0)</f>
        <v>0</v>
      </c>
      <c r="S21" s="2">
        <f>IF(A21="V",1,0)</f>
        <v>0</v>
      </c>
      <c r="T21" s="2">
        <f>IF(A21="R E",1,0)</f>
        <v>0</v>
      </c>
      <c r="U21" s="2">
        <f>IF(A21="S",1,0)</f>
        <v>0</v>
      </c>
      <c r="V21" s="2">
        <f>IF(A21="D",1,0)</f>
        <v>0</v>
      </c>
      <c r="W21" s="33">
        <f>IF(E21="N",1,-1)</f>
        <v>1</v>
      </c>
      <c r="X21" s="34">
        <f>IF(H21="W",1,-1)</f>
        <v>1</v>
      </c>
      <c r="Y21" s="2">
        <f>C21</f>
        <v>4</v>
      </c>
      <c r="Z21" s="2" t="str">
        <f t="shared" si="29"/>
        <v>N</v>
      </c>
      <c r="AA21" s="2">
        <f t="shared" si="29"/>
        <v>95</v>
      </c>
      <c r="AB21" s="2">
        <f>IF(R21=1,"R",IF(S21=1,"V",0))</f>
        <v>0</v>
      </c>
      <c r="AC21" s="35">
        <f>IF(R21=1,N21,IF(S21=1,N21,IF(T21=1,N21,IF(U21=1,N21,IF(V21=1,N21,0)))))</f>
        <v>0</v>
      </c>
      <c r="AD21" s="36"/>
      <c r="AE21" s="35">
        <f>(AC21-AD21)/30.5</f>
        <v>0</v>
      </c>
    </row>
    <row r="22" spans="1:31" ht="18">
      <c r="A22" s="23" t="s">
        <v>24</v>
      </c>
      <c r="B22" s="49" t="s">
        <v>65</v>
      </c>
      <c r="C22" s="3">
        <v>3</v>
      </c>
      <c r="D22" s="25">
        <v>30</v>
      </c>
      <c r="E22" s="3" t="s">
        <v>21</v>
      </c>
      <c r="F22" s="41">
        <v>95</v>
      </c>
      <c r="G22" s="40">
        <v>0</v>
      </c>
      <c r="H22" s="50" t="s">
        <v>22</v>
      </c>
      <c r="I22" s="53">
        <f t="shared" si="25"/>
        <v>1183.5480746654748</v>
      </c>
      <c r="J22" s="26">
        <f>180/PI()*60*ACOS((SIN(PI()/180*W21*(C21+D21/60))*SIN(PI()/180*W22*(C22+D22/60)))+(COS(PI()/180*W21*(C21+D21/60))*COS(PI()/180*W22*(C22+D22/60))*COS(PI()/180*(X22*(F22+G22/60)-X21*(F21+G21/60)))))</f>
        <v>30.000000000035534</v>
      </c>
      <c r="K22" s="27">
        <v>12.5</v>
      </c>
      <c r="L22" s="28">
        <f t="shared" si="27"/>
        <v>2.4000000000028425</v>
      </c>
      <c r="M22" s="29">
        <f>IF(R22=1,12,IF(S22=1,4,IF(T22=1,6,IF(U22=1,8,IF(V22=1,5,1)))))-4</f>
        <v>8</v>
      </c>
      <c r="N22" s="44">
        <f>O21+L22/24</f>
        <v>36098.21627729698</v>
      </c>
      <c r="O22" s="31">
        <f t="shared" si="28"/>
        <v>36098.54961063032</v>
      </c>
      <c r="P22" s="46">
        <f>P21+L22+M22</f>
        <v>160.79065512838588</v>
      </c>
      <c r="Q22" s="46">
        <f t="shared" si="18"/>
        <v>6.699610630349412</v>
      </c>
      <c r="R22" s="2">
        <f>IF(A22="R",1,0)</f>
        <v>1</v>
      </c>
      <c r="S22" s="2">
        <f>IF(A22="V",1,0)</f>
        <v>0</v>
      </c>
      <c r="T22" s="2">
        <f>IF(A22="R E",1,0)</f>
        <v>0</v>
      </c>
      <c r="U22" s="2">
        <f>IF(A22="S",1,0)</f>
        <v>0</v>
      </c>
      <c r="V22" s="2">
        <f>IF(A22="D",1,0)</f>
        <v>0</v>
      </c>
      <c r="W22" s="33">
        <f>IF(E22="N",1,-1)</f>
        <v>1</v>
      </c>
      <c r="X22" s="34">
        <f>IF(H22="W",1,-1)</f>
        <v>1</v>
      </c>
      <c r="Y22" s="2">
        <f>C22</f>
        <v>3</v>
      </c>
      <c r="Z22" s="2" t="str">
        <f t="shared" si="29"/>
        <v>N</v>
      </c>
      <c r="AA22" s="2">
        <f t="shared" si="29"/>
        <v>95</v>
      </c>
      <c r="AB22" s="2" t="str">
        <f>IF(R22=1,"R",IF(S22=1,"V",0))</f>
        <v>R</v>
      </c>
      <c r="AC22" s="35">
        <f>IF(R22=1,N22,IF(S22=1,N22,IF(T22=1,N22,IF(U22=1,N22,IF(V22=1,N22,0)))))</f>
        <v>36098.21627729698</v>
      </c>
      <c r="AD22" s="36"/>
      <c r="AE22" s="35">
        <f>(AC22-AD22)/30.5</f>
        <v>1183.5480746654748</v>
      </c>
    </row>
    <row r="23" spans="1:31" ht="18">
      <c r="A23" s="23"/>
      <c r="B23" s="49" t="s">
        <v>23</v>
      </c>
      <c r="C23" s="3">
        <v>3</v>
      </c>
      <c r="D23" s="25">
        <v>0</v>
      </c>
      <c r="E23" s="3" t="s">
        <v>21</v>
      </c>
      <c r="F23" s="41">
        <v>95</v>
      </c>
      <c r="G23" s="40">
        <v>0</v>
      </c>
      <c r="H23" s="50" t="s">
        <v>22</v>
      </c>
      <c r="I23" s="53">
        <f t="shared" si="25"/>
      </c>
      <c r="J23" s="26">
        <f>180/PI()*60*ACOS((SIN(PI()/180*W22*(C22+D22/60))*SIN(PI()/180*W23*(C23+D23/60)))+(COS(PI()/180*W22*(C22+D22/60))*COS(PI()/180*W23*(C23+D23/60))*COS(PI()/180*(X23*(F23+G23/60)-X19*(F22+G19/60)))))</f>
        <v>30.000000000035534</v>
      </c>
      <c r="K23" s="27">
        <v>12.5</v>
      </c>
      <c r="L23" s="28">
        <f t="shared" si="27"/>
        <v>2.4000000000028425</v>
      </c>
      <c r="M23" s="29">
        <f>IF(R23=1,12,IF(S23=1,4,IF(T23=1,6,IF(U23=1,8,IF(V23=1,5,1)))))</f>
        <v>1</v>
      </c>
      <c r="N23" s="44">
        <f>O22+L23/24</f>
        <v>36098.64961063032</v>
      </c>
      <c r="O23" s="31">
        <f t="shared" si="28"/>
        <v>36098.69127729698</v>
      </c>
      <c r="P23" s="46">
        <f>P21+L23+M23</f>
        <v>153.79065512838588</v>
      </c>
      <c r="Q23" s="46">
        <f t="shared" si="18"/>
        <v>6.407943963682745</v>
      </c>
      <c r="R23" s="2">
        <f>IF(A23="R",1,0)</f>
        <v>0</v>
      </c>
      <c r="S23" s="2">
        <f>IF(A23="V",1,0)</f>
        <v>0</v>
      </c>
      <c r="T23" s="2">
        <f t="shared" si="3"/>
        <v>0</v>
      </c>
      <c r="U23" s="2">
        <f>IF(A23="S",1,0)</f>
        <v>0</v>
      </c>
      <c r="V23" s="2">
        <f>IF(A23="D",1,0)</f>
        <v>0</v>
      </c>
      <c r="W23" s="33">
        <f>IF(E23="N",1,-1)</f>
        <v>1</v>
      </c>
      <c r="X23" s="34">
        <f>IF(H23="W",1,-1)</f>
        <v>1</v>
      </c>
      <c r="Y23" s="2">
        <f>C23</f>
        <v>3</v>
      </c>
      <c r="Z23" s="2" t="str">
        <f t="shared" si="20"/>
        <v>N</v>
      </c>
      <c r="AA23" s="2">
        <f t="shared" si="20"/>
        <v>95</v>
      </c>
      <c r="AB23" s="2">
        <f>IF(R23=1,"R",IF(S23=1,"V",0))</f>
        <v>0</v>
      </c>
      <c r="AC23" s="35">
        <f>IF(R23=1,N23,IF(S23=1,N23,IF(T23=1,N23,IF(U23=1,N23,IF(V23=1,N23,0)))))</f>
        <v>0</v>
      </c>
      <c r="AD23" s="36"/>
      <c r="AE23" s="35">
        <f>(AC23-AD23)/30.5</f>
        <v>0</v>
      </c>
    </row>
    <row r="24" spans="1:31" ht="18">
      <c r="A24" s="37"/>
      <c r="B24" s="38" t="s">
        <v>23</v>
      </c>
      <c r="C24" s="39">
        <v>2</v>
      </c>
      <c r="D24" s="40">
        <v>30</v>
      </c>
      <c r="E24" s="115" t="s">
        <v>21</v>
      </c>
      <c r="F24" s="41">
        <v>95</v>
      </c>
      <c r="G24" s="40">
        <v>0</v>
      </c>
      <c r="H24" s="116" t="s">
        <v>22</v>
      </c>
      <c r="I24" s="116">
        <f t="shared" si="0"/>
      </c>
      <c r="J24" s="26">
        <f>180/PI()*60*ACOS((SIN(PI()/180*W23*(C23+D23/60))*SIN(PI()/180*W24*(C24+D24/60)))+(COS(PI()/180*W23*(C23+D23/60))*COS(PI()/180*W24*(C24+D24/60))*COS(PI()/180*(X24*(F24+G24/60)-X23*(F23+G23/60)))))</f>
        <v>29.99999999999126</v>
      </c>
      <c r="K24" s="27">
        <v>12.5</v>
      </c>
      <c r="L24" s="28">
        <f t="shared" si="27"/>
        <v>2.399999999999301</v>
      </c>
      <c r="M24" s="29">
        <f t="shared" si="23"/>
        <v>1</v>
      </c>
      <c r="N24" s="44">
        <f>O23+L24/24</f>
        <v>36098.79127729698</v>
      </c>
      <c r="O24" s="31">
        <f t="shared" si="28"/>
        <v>36098.83294396364</v>
      </c>
      <c r="P24" s="46">
        <f t="shared" si="26"/>
        <v>157.19065512838517</v>
      </c>
      <c r="Q24" s="46">
        <f t="shared" si="18"/>
        <v>6.549610630349382</v>
      </c>
      <c r="R24" s="68">
        <f t="shared" si="1"/>
        <v>0</v>
      </c>
      <c r="S24" s="2">
        <f t="shared" si="2"/>
        <v>0</v>
      </c>
      <c r="T24" s="2">
        <f aca="true" t="shared" si="30" ref="T24:T35">IF(A24="R E",1,0)</f>
        <v>0</v>
      </c>
      <c r="U24" s="2">
        <f t="shared" si="19"/>
        <v>0</v>
      </c>
      <c r="V24" s="2">
        <f t="shared" si="5"/>
        <v>0</v>
      </c>
      <c r="W24" s="33">
        <f t="shared" si="6"/>
        <v>1</v>
      </c>
      <c r="X24" s="34">
        <f t="shared" si="7"/>
        <v>1</v>
      </c>
      <c r="Y24" s="2">
        <f t="shared" si="8"/>
        <v>2</v>
      </c>
      <c r="Z24" s="2" t="str">
        <f aca="true" t="shared" si="31" ref="Z24:Z35">E24</f>
        <v>N</v>
      </c>
      <c r="AA24" s="2">
        <f aca="true" t="shared" si="32" ref="AA24:AA35">F24</f>
        <v>95</v>
      </c>
      <c r="AB24" s="2">
        <f t="shared" si="10"/>
        <v>0</v>
      </c>
      <c r="AC24" s="35">
        <f t="shared" si="11"/>
        <v>0</v>
      </c>
      <c r="AD24" s="47">
        <v>35191</v>
      </c>
      <c r="AE24" s="48">
        <f t="shared" si="12"/>
        <v>-1153.8032786885246</v>
      </c>
    </row>
    <row r="25" spans="1:31" ht="18">
      <c r="A25" s="23" t="s">
        <v>49</v>
      </c>
      <c r="B25" s="49" t="s">
        <v>67</v>
      </c>
      <c r="C25" s="3">
        <v>2</v>
      </c>
      <c r="D25" s="25">
        <v>0</v>
      </c>
      <c r="E25" s="3" t="s">
        <v>21</v>
      </c>
      <c r="F25" s="41">
        <v>95</v>
      </c>
      <c r="G25" s="40">
        <v>0</v>
      </c>
      <c r="H25" s="50" t="s">
        <v>22</v>
      </c>
      <c r="I25" s="53">
        <f>IF(R25=1,AE25,IF(S25=1,AE25,IF(T25=1,AE25,"")))</f>
        <v>1183.5715719332343</v>
      </c>
      <c r="J25" s="26">
        <f t="shared" si="21"/>
        <v>29.99999999994775</v>
      </c>
      <c r="K25" s="27">
        <v>12.5</v>
      </c>
      <c r="L25" s="28">
        <f t="shared" si="27"/>
        <v>2.39999999999582</v>
      </c>
      <c r="M25" s="29">
        <f>IF(R25=1,12,IF(S25=1,4,IF(T25=1,6,IF(U25=1,8,IF(V25=1,5,1)))))+8</f>
        <v>14</v>
      </c>
      <c r="N25" s="44">
        <f t="shared" si="17"/>
        <v>36098.93294396364</v>
      </c>
      <c r="O25" s="31">
        <f t="shared" si="28"/>
        <v>36099.51627729698</v>
      </c>
      <c r="P25" s="46">
        <f t="shared" si="26"/>
        <v>173.590655128381</v>
      </c>
      <c r="Q25" s="46">
        <f t="shared" si="18"/>
        <v>7.232943963682541</v>
      </c>
      <c r="R25" s="2">
        <f>IF(A25="R",1,0)</f>
        <v>0</v>
      </c>
      <c r="S25" s="2">
        <f>IF(A25="V",1,0)</f>
        <v>0</v>
      </c>
      <c r="T25" s="2">
        <f t="shared" si="30"/>
        <v>1</v>
      </c>
      <c r="U25" s="2">
        <f t="shared" si="19"/>
        <v>0</v>
      </c>
      <c r="V25" s="2">
        <f t="shared" si="5"/>
        <v>0</v>
      </c>
      <c r="W25" s="33">
        <f>IF(E25="N",1,-1)</f>
        <v>1</v>
      </c>
      <c r="X25" s="34">
        <f>IF(H25="W",1,-1)</f>
        <v>1</v>
      </c>
      <c r="Y25" s="2">
        <f>C25</f>
        <v>2</v>
      </c>
      <c r="Z25" s="2" t="str">
        <f t="shared" si="31"/>
        <v>N</v>
      </c>
      <c r="AA25" s="2">
        <f t="shared" si="32"/>
        <v>95</v>
      </c>
      <c r="AB25" s="2">
        <f>IF(R25=1,"R",IF(S25=1,"V",0))</f>
        <v>0</v>
      </c>
      <c r="AC25" s="35">
        <f t="shared" si="11"/>
        <v>36098.93294396364</v>
      </c>
      <c r="AD25" s="36"/>
      <c r="AE25" s="35">
        <f>(AC25-AD25)/30.5</f>
        <v>1183.5715719332343</v>
      </c>
    </row>
    <row r="26" spans="1:31" ht="18">
      <c r="A26" s="23"/>
      <c r="B26" s="49" t="s">
        <v>23</v>
      </c>
      <c r="C26" s="3">
        <v>1</v>
      </c>
      <c r="D26" s="25">
        <v>30</v>
      </c>
      <c r="E26" s="3" t="s">
        <v>21</v>
      </c>
      <c r="F26" s="41">
        <v>95</v>
      </c>
      <c r="G26" s="40">
        <v>0</v>
      </c>
      <c r="H26" s="50" t="s">
        <v>22</v>
      </c>
      <c r="I26" s="53">
        <f t="shared" si="0"/>
      </c>
      <c r="J26" s="26">
        <f t="shared" si="21"/>
        <v>29.99999999999126</v>
      </c>
      <c r="K26" s="27">
        <v>12.5</v>
      </c>
      <c r="L26" s="28">
        <f t="shared" si="22"/>
        <v>2.399999999999301</v>
      </c>
      <c r="M26" s="29">
        <f aca="true" t="shared" si="33" ref="M26:M32">IF(R26=1,12,IF(S26=1,4,IF(T26=1,6,IF(U26=1,8,IF(V26=1,5,1)))))</f>
        <v>1</v>
      </c>
      <c r="N26" s="44">
        <f aca="true" t="shared" si="34" ref="N26:N31">O25+L26/24</f>
        <v>36099.61627729698</v>
      </c>
      <c r="O26" s="31">
        <f t="shared" si="24"/>
        <v>36099.65794396364</v>
      </c>
      <c r="P26" s="46">
        <f t="shared" si="26"/>
        <v>176.9906551283803</v>
      </c>
      <c r="Q26" s="46">
        <f t="shared" si="18"/>
        <v>7.374610630349179</v>
      </c>
      <c r="R26" s="2">
        <f t="shared" si="1"/>
        <v>0</v>
      </c>
      <c r="S26" s="2">
        <f t="shared" si="2"/>
        <v>0</v>
      </c>
      <c r="T26" s="2">
        <f t="shared" si="30"/>
        <v>0</v>
      </c>
      <c r="U26" s="2">
        <f t="shared" si="19"/>
        <v>0</v>
      </c>
      <c r="V26" s="2">
        <f t="shared" si="5"/>
        <v>0</v>
      </c>
      <c r="W26" s="33">
        <f t="shared" si="6"/>
        <v>1</v>
      </c>
      <c r="X26" s="34">
        <f t="shared" si="7"/>
        <v>1</v>
      </c>
      <c r="Y26" s="2">
        <f t="shared" si="8"/>
        <v>1</v>
      </c>
      <c r="Z26" s="2" t="str">
        <f t="shared" si="31"/>
        <v>N</v>
      </c>
      <c r="AA26" s="2">
        <f t="shared" si="32"/>
        <v>95</v>
      </c>
      <c r="AB26" s="2">
        <f t="shared" si="10"/>
        <v>0</v>
      </c>
      <c r="AC26" s="35">
        <f t="shared" si="11"/>
        <v>0</v>
      </c>
      <c r="AD26" s="36"/>
      <c r="AE26" s="35">
        <f t="shared" si="12"/>
        <v>0</v>
      </c>
    </row>
    <row r="27" spans="1:31" ht="18">
      <c r="A27" s="23"/>
      <c r="B27" s="49" t="s">
        <v>23</v>
      </c>
      <c r="C27" s="3">
        <v>1</v>
      </c>
      <c r="D27" s="25">
        <v>0</v>
      </c>
      <c r="E27" s="3" t="s">
        <v>21</v>
      </c>
      <c r="F27" s="41">
        <v>95</v>
      </c>
      <c r="G27" s="40">
        <v>0</v>
      </c>
      <c r="H27" s="50" t="s">
        <v>22</v>
      </c>
      <c r="I27" s="53">
        <f>IF(R27=1,AE27,IF(S27=1,AE27,IF(T27=1,AE27,"")))</f>
      </c>
      <c r="J27" s="26">
        <f t="shared" si="21"/>
        <v>29.99999999999126</v>
      </c>
      <c r="K27" s="27">
        <v>12.5</v>
      </c>
      <c r="L27" s="28">
        <f>J27/K27</f>
        <v>2.399999999999301</v>
      </c>
      <c r="M27" s="29">
        <f t="shared" si="33"/>
        <v>1</v>
      </c>
      <c r="N27" s="44">
        <f t="shared" si="34"/>
        <v>36099.75794396364</v>
      </c>
      <c r="O27" s="31">
        <f>N27+M27/24</f>
        <v>36099.7996106303</v>
      </c>
      <c r="P27" s="46">
        <f t="shared" si="26"/>
        <v>180.3906551283796</v>
      </c>
      <c r="Q27" s="46">
        <f t="shared" si="18"/>
        <v>7.516277297015816</v>
      </c>
      <c r="R27" s="2">
        <f>IF(A27="R",1,0)</f>
        <v>0</v>
      </c>
      <c r="S27" s="2">
        <f>IF(A27="V",1,0)</f>
        <v>0</v>
      </c>
      <c r="T27" s="2">
        <f t="shared" si="30"/>
        <v>0</v>
      </c>
      <c r="U27" s="2">
        <f t="shared" si="19"/>
        <v>0</v>
      </c>
      <c r="V27" s="2">
        <f t="shared" si="5"/>
        <v>0</v>
      </c>
      <c r="W27" s="33">
        <f>IF(E27="N",1,-1)</f>
        <v>1</v>
      </c>
      <c r="X27" s="34">
        <f>IF(H27="W",1,-1)</f>
        <v>1</v>
      </c>
      <c r="Y27" s="2">
        <f>C27</f>
        <v>1</v>
      </c>
      <c r="Z27" s="2" t="str">
        <f t="shared" si="31"/>
        <v>N</v>
      </c>
      <c r="AA27" s="2">
        <f t="shared" si="32"/>
        <v>95</v>
      </c>
      <c r="AB27" s="2">
        <f>IF(R27=1,"R",IF(S27=1,"V",0))</f>
        <v>0</v>
      </c>
      <c r="AC27" s="35">
        <f t="shared" si="11"/>
        <v>0</v>
      </c>
      <c r="AD27" s="36"/>
      <c r="AE27" s="35">
        <f>(AC27-AD27)/30.5</f>
        <v>0</v>
      </c>
    </row>
    <row r="28" spans="1:31" ht="18">
      <c r="A28" s="37"/>
      <c r="B28" s="38" t="s">
        <v>23</v>
      </c>
      <c r="C28" s="39">
        <v>0</v>
      </c>
      <c r="D28" s="40">
        <v>30</v>
      </c>
      <c r="E28" s="115" t="s">
        <v>21</v>
      </c>
      <c r="F28" s="41">
        <v>95</v>
      </c>
      <c r="G28" s="40">
        <v>0</v>
      </c>
      <c r="H28" s="116" t="s">
        <v>22</v>
      </c>
      <c r="I28" s="116">
        <f t="shared" si="0"/>
      </c>
      <c r="J28" s="42">
        <f t="shared" si="21"/>
        <v>29.99999999999126</v>
      </c>
      <c r="K28" s="27">
        <v>12.5</v>
      </c>
      <c r="L28" s="43">
        <f t="shared" si="22"/>
        <v>2.399999999999301</v>
      </c>
      <c r="M28" s="29">
        <f t="shared" si="33"/>
        <v>1</v>
      </c>
      <c r="N28" s="44">
        <f t="shared" si="34"/>
        <v>36099.8996106303</v>
      </c>
      <c r="O28" s="45">
        <f t="shared" si="24"/>
        <v>36099.941277296966</v>
      </c>
      <c r="P28" s="46">
        <f t="shared" si="26"/>
        <v>183.7906551283789</v>
      </c>
      <c r="Q28" s="46">
        <f t="shared" si="18"/>
        <v>7.657943963682453</v>
      </c>
      <c r="R28" s="68">
        <f t="shared" si="1"/>
        <v>0</v>
      </c>
      <c r="S28" s="2">
        <f t="shared" si="2"/>
        <v>0</v>
      </c>
      <c r="T28" s="2">
        <f t="shared" si="30"/>
        <v>0</v>
      </c>
      <c r="U28" s="2">
        <f t="shared" si="19"/>
        <v>0</v>
      </c>
      <c r="V28" s="2">
        <f t="shared" si="5"/>
        <v>0</v>
      </c>
      <c r="W28" s="33">
        <f t="shared" si="6"/>
        <v>1</v>
      </c>
      <c r="X28" s="34">
        <f t="shared" si="7"/>
        <v>1</v>
      </c>
      <c r="Y28" s="2">
        <f t="shared" si="8"/>
        <v>0</v>
      </c>
      <c r="Z28" s="2" t="str">
        <f t="shared" si="31"/>
        <v>N</v>
      </c>
      <c r="AA28" s="2">
        <f t="shared" si="32"/>
        <v>95</v>
      </c>
      <c r="AB28" s="2">
        <f t="shared" si="10"/>
        <v>0</v>
      </c>
      <c r="AC28" s="35">
        <f t="shared" si="11"/>
        <v>0</v>
      </c>
      <c r="AD28" s="47">
        <v>35018</v>
      </c>
      <c r="AE28" s="48">
        <f t="shared" si="12"/>
        <v>-1148.1311475409836</v>
      </c>
    </row>
    <row r="29" spans="1:31" ht="18">
      <c r="A29" s="23" t="s">
        <v>49</v>
      </c>
      <c r="B29" s="49" t="s">
        <v>69</v>
      </c>
      <c r="C29" s="3">
        <v>0</v>
      </c>
      <c r="D29" s="25">
        <v>0</v>
      </c>
      <c r="E29" s="3"/>
      <c r="F29" s="41">
        <v>95</v>
      </c>
      <c r="G29" s="40">
        <v>0</v>
      </c>
      <c r="H29" s="50" t="s">
        <v>22</v>
      </c>
      <c r="I29" s="53">
        <f>IF(R29=1,AE29,IF(S29=1,AE29,IF(T29=1,AE29,"")))</f>
        <v>1183.607910731048</v>
      </c>
      <c r="J29" s="26">
        <f>180/PI()*60*ACOS((SIN(PI()/180*W28*(C28+D28/60))*SIN(PI()/180*W29*(C29+D29/60)))+(COS(PI()/180*W28*(C28+D28/60))*COS(PI()/180*W29*(C29+D29/60))*COS(PI()/180*(X29*(F29+G29/60)-X28*(F28+G28/60)))))</f>
        <v>29.99999999999126</v>
      </c>
      <c r="K29" s="27">
        <v>12.5</v>
      </c>
      <c r="L29" s="28">
        <f>J29/K29</f>
        <v>2.399999999999301</v>
      </c>
      <c r="M29" s="29">
        <f>IF(R29=1,12,IF(S29=1,4,IF(T29=1,6,IF(U29=1,8,IF(V29=1,5,1)))))+4</f>
        <v>10</v>
      </c>
      <c r="N29" s="44">
        <f>O28+L29/24</f>
        <v>36100.041277296965</v>
      </c>
      <c r="O29" s="31">
        <f>N29+M29/24</f>
        <v>36100.45794396363</v>
      </c>
      <c r="P29" s="46">
        <f>P28+L29+M29</f>
        <v>196.19065512837818</v>
      </c>
      <c r="Q29" s="46">
        <f t="shared" si="18"/>
        <v>8.174610630349092</v>
      </c>
      <c r="R29" s="2">
        <f>IF(A29="R",1,0)</f>
        <v>0</v>
      </c>
      <c r="S29" s="2">
        <f>IF(A29="V",1,0)</f>
        <v>0</v>
      </c>
      <c r="T29" s="2">
        <f t="shared" si="30"/>
        <v>1</v>
      </c>
      <c r="U29" s="2">
        <f t="shared" si="19"/>
        <v>0</v>
      </c>
      <c r="V29" s="2">
        <f>IF(A29="D",1,0)</f>
        <v>0</v>
      </c>
      <c r="W29" s="33">
        <f>IF(E29="N",1,-1)</f>
        <v>-1</v>
      </c>
      <c r="X29" s="34">
        <f>IF(H29="W",1,-1)</f>
        <v>1</v>
      </c>
      <c r="Y29" s="2">
        <f>C29</f>
        <v>0</v>
      </c>
      <c r="Z29" s="2">
        <f t="shared" si="31"/>
        <v>0</v>
      </c>
      <c r="AA29" s="2">
        <f t="shared" si="32"/>
        <v>95</v>
      </c>
      <c r="AB29" s="2">
        <f>IF(R29=1,"R",IF(S29=1,"V",0))</f>
        <v>0</v>
      </c>
      <c r="AC29" s="35">
        <f t="shared" si="11"/>
        <v>36100.041277296965</v>
      </c>
      <c r="AD29" s="36"/>
      <c r="AE29" s="35">
        <f>(AC29-AD29)/30.5</f>
        <v>1183.607910731048</v>
      </c>
    </row>
    <row r="30" spans="1:31" ht="18">
      <c r="A30" s="23"/>
      <c r="B30" s="49" t="s">
        <v>23</v>
      </c>
      <c r="C30" s="3">
        <v>0</v>
      </c>
      <c r="D30" s="25">
        <v>30</v>
      </c>
      <c r="E30" s="3" t="s">
        <v>25</v>
      </c>
      <c r="F30" s="41">
        <v>95</v>
      </c>
      <c r="G30" s="40">
        <v>0</v>
      </c>
      <c r="H30" s="50" t="s">
        <v>22</v>
      </c>
      <c r="I30" s="53">
        <f t="shared" si="0"/>
      </c>
      <c r="J30" s="26">
        <f t="shared" si="21"/>
        <v>29.99999999999126</v>
      </c>
      <c r="K30" s="27">
        <v>12.5</v>
      </c>
      <c r="L30" s="28">
        <f t="shared" si="22"/>
        <v>2.399999999999301</v>
      </c>
      <c r="M30" s="29">
        <f t="shared" si="33"/>
        <v>1</v>
      </c>
      <c r="N30" s="44">
        <f t="shared" si="34"/>
        <v>36100.55794396363</v>
      </c>
      <c r="O30" s="31">
        <f t="shared" si="24"/>
        <v>36100.59961063029</v>
      </c>
      <c r="P30" s="46">
        <f t="shared" si="26"/>
        <v>199.59065512837748</v>
      </c>
      <c r="Q30" s="46">
        <f t="shared" si="18"/>
        <v>8.316277297015729</v>
      </c>
      <c r="R30" s="2">
        <f t="shared" si="1"/>
        <v>0</v>
      </c>
      <c r="S30" s="2">
        <f t="shared" si="2"/>
        <v>0</v>
      </c>
      <c r="T30" s="2">
        <f t="shared" si="30"/>
        <v>0</v>
      </c>
      <c r="U30" s="2">
        <f t="shared" si="19"/>
        <v>0</v>
      </c>
      <c r="V30" s="2">
        <f t="shared" si="5"/>
        <v>0</v>
      </c>
      <c r="W30" s="33">
        <f t="shared" si="6"/>
        <v>-1</v>
      </c>
      <c r="X30" s="34">
        <f t="shared" si="7"/>
        <v>1</v>
      </c>
      <c r="Y30" s="2">
        <f t="shared" si="8"/>
        <v>0</v>
      </c>
      <c r="Z30" s="2" t="str">
        <f t="shared" si="31"/>
        <v>S</v>
      </c>
      <c r="AA30" s="2">
        <f t="shared" si="32"/>
        <v>95</v>
      </c>
      <c r="AB30" s="2">
        <f t="shared" si="10"/>
        <v>0</v>
      </c>
      <c r="AC30" s="35">
        <f t="shared" si="11"/>
        <v>0</v>
      </c>
      <c r="AD30" s="36"/>
      <c r="AE30" s="35">
        <f t="shared" si="12"/>
        <v>0</v>
      </c>
    </row>
    <row r="31" spans="1:31" ht="18">
      <c r="A31" s="23"/>
      <c r="B31" s="49" t="s">
        <v>23</v>
      </c>
      <c r="C31" s="3">
        <v>1</v>
      </c>
      <c r="D31" s="25">
        <v>0</v>
      </c>
      <c r="E31" s="52" t="s">
        <v>25</v>
      </c>
      <c r="F31" s="41">
        <v>95</v>
      </c>
      <c r="G31" s="25">
        <v>0</v>
      </c>
      <c r="H31" s="53" t="s">
        <v>22</v>
      </c>
      <c r="I31" s="53">
        <f t="shared" si="0"/>
      </c>
      <c r="J31" s="26">
        <f t="shared" si="21"/>
        <v>29.99999999999126</v>
      </c>
      <c r="K31" s="27">
        <v>12.5</v>
      </c>
      <c r="L31" s="28">
        <f t="shared" si="22"/>
        <v>2.399999999999301</v>
      </c>
      <c r="M31" s="29">
        <f t="shared" si="33"/>
        <v>1</v>
      </c>
      <c r="N31" s="44">
        <f t="shared" si="34"/>
        <v>36100.69961063029</v>
      </c>
      <c r="O31" s="31">
        <f t="shared" si="24"/>
        <v>36100.741277296955</v>
      </c>
      <c r="P31" s="46">
        <f t="shared" si="26"/>
        <v>202.99065512837677</v>
      </c>
      <c r="Q31" s="46">
        <f t="shared" si="18"/>
        <v>8.457943963682366</v>
      </c>
      <c r="R31" s="2">
        <f t="shared" si="1"/>
        <v>0</v>
      </c>
      <c r="S31" s="2">
        <f t="shared" si="2"/>
        <v>0</v>
      </c>
      <c r="T31" s="2">
        <f t="shared" si="30"/>
        <v>0</v>
      </c>
      <c r="U31" s="2">
        <f t="shared" si="19"/>
        <v>0</v>
      </c>
      <c r="V31" s="2">
        <f>IF(A31="D",1,0)</f>
        <v>0</v>
      </c>
      <c r="W31" s="33">
        <f t="shared" si="6"/>
        <v>-1</v>
      </c>
      <c r="X31" s="34">
        <f t="shared" si="7"/>
        <v>1</v>
      </c>
      <c r="Y31" s="2">
        <f t="shared" si="8"/>
        <v>1</v>
      </c>
      <c r="Z31" s="2" t="str">
        <f t="shared" si="31"/>
        <v>S</v>
      </c>
      <c r="AA31" s="2">
        <f t="shared" si="32"/>
        <v>95</v>
      </c>
      <c r="AB31" s="2">
        <f t="shared" si="10"/>
        <v>0</v>
      </c>
      <c r="AC31" s="35">
        <f t="shared" si="11"/>
        <v>0</v>
      </c>
      <c r="AD31" s="36"/>
      <c r="AE31" s="35">
        <f t="shared" si="12"/>
        <v>0</v>
      </c>
    </row>
    <row r="32" spans="1:31" ht="18">
      <c r="A32" s="23"/>
      <c r="B32" s="49" t="s">
        <v>23</v>
      </c>
      <c r="C32" s="3">
        <v>1</v>
      </c>
      <c r="D32" s="25">
        <v>30</v>
      </c>
      <c r="E32" s="52" t="s">
        <v>25</v>
      </c>
      <c r="F32" s="41">
        <v>95</v>
      </c>
      <c r="G32" s="25">
        <v>0</v>
      </c>
      <c r="H32" s="53" t="s">
        <v>22</v>
      </c>
      <c r="I32" s="53">
        <f t="shared" si="0"/>
      </c>
      <c r="J32" s="26">
        <f t="shared" si="21"/>
        <v>29.99999999999126</v>
      </c>
      <c r="K32" s="27">
        <v>12.5</v>
      </c>
      <c r="L32" s="28">
        <f t="shared" si="22"/>
        <v>2.399999999999301</v>
      </c>
      <c r="M32" s="29">
        <f t="shared" si="33"/>
        <v>1</v>
      </c>
      <c r="N32" s="51">
        <f>O31+L32/24</f>
        <v>36100.84127729695</v>
      </c>
      <c r="O32" s="31">
        <f t="shared" si="24"/>
        <v>36100.88294396362</v>
      </c>
      <c r="P32" s="46">
        <f t="shared" si="26"/>
        <v>206.39065512837607</v>
      </c>
      <c r="Q32" s="46">
        <f t="shared" si="18"/>
        <v>8.599610630349003</v>
      </c>
      <c r="R32" s="2">
        <f t="shared" si="1"/>
        <v>0</v>
      </c>
      <c r="S32" s="68">
        <f t="shared" si="2"/>
        <v>0</v>
      </c>
      <c r="T32" s="2">
        <f t="shared" si="30"/>
        <v>0</v>
      </c>
      <c r="U32" s="2">
        <f t="shared" si="19"/>
        <v>0</v>
      </c>
      <c r="V32" s="2">
        <f t="shared" si="5"/>
        <v>0</v>
      </c>
      <c r="W32" s="33">
        <f t="shared" si="6"/>
        <v>-1</v>
      </c>
      <c r="X32" s="34">
        <f t="shared" si="7"/>
        <v>1</v>
      </c>
      <c r="Y32" s="2">
        <f t="shared" si="8"/>
        <v>1</v>
      </c>
      <c r="Z32" s="2" t="str">
        <f t="shared" si="31"/>
        <v>S</v>
      </c>
      <c r="AA32" s="2">
        <f t="shared" si="32"/>
        <v>95</v>
      </c>
      <c r="AB32" s="2">
        <f t="shared" si="10"/>
        <v>0</v>
      </c>
      <c r="AC32" s="35">
        <f t="shared" si="11"/>
        <v>0</v>
      </c>
      <c r="AD32" s="47">
        <v>35189</v>
      </c>
      <c r="AE32" s="48">
        <f t="shared" si="12"/>
        <v>-1153.7377049180327</v>
      </c>
    </row>
    <row r="33" spans="1:31" ht="18">
      <c r="A33" s="23" t="s">
        <v>24</v>
      </c>
      <c r="B33" s="49" t="s">
        <v>70</v>
      </c>
      <c r="C33" s="3">
        <v>2</v>
      </c>
      <c r="D33" s="25">
        <v>0</v>
      </c>
      <c r="E33" s="3" t="s">
        <v>25</v>
      </c>
      <c r="F33" s="41">
        <v>95</v>
      </c>
      <c r="G33" s="40">
        <v>0</v>
      </c>
      <c r="H33" s="50" t="s">
        <v>22</v>
      </c>
      <c r="I33" s="53">
        <f t="shared" si="0"/>
        <v>1183.6387850479873</v>
      </c>
      <c r="J33" s="26">
        <f t="shared" si="21"/>
        <v>29.99999999999126</v>
      </c>
      <c r="K33" s="27">
        <v>12.5</v>
      </c>
      <c r="L33" s="28">
        <f t="shared" si="22"/>
        <v>2.399999999999301</v>
      </c>
      <c r="M33" s="29">
        <f>IF(R33=1,12,IF(S33=1,4,IF(T33=1,6,IF(U33=1,8,IF(V33=1,5,1)))))+4</f>
        <v>16</v>
      </c>
      <c r="N33" s="51">
        <f>O32+L33/24</f>
        <v>36100.982943963616</v>
      </c>
      <c r="O33" s="31">
        <f t="shared" si="24"/>
        <v>36101.64961063028</v>
      </c>
      <c r="P33" s="46">
        <f t="shared" si="26"/>
        <v>224.79065512837536</v>
      </c>
      <c r="Q33" s="46">
        <f t="shared" si="18"/>
        <v>9.36627729701564</v>
      </c>
      <c r="R33" s="2">
        <f t="shared" si="1"/>
        <v>1</v>
      </c>
      <c r="S33" s="2">
        <f t="shared" si="2"/>
        <v>0</v>
      </c>
      <c r="T33" s="2">
        <f t="shared" si="30"/>
        <v>0</v>
      </c>
      <c r="U33" s="2">
        <f t="shared" si="19"/>
        <v>0</v>
      </c>
      <c r="V33" s="2">
        <f>IF(A33="D",1,0)</f>
        <v>0</v>
      </c>
      <c r="W33" s="33">
        <f t="shared" si="6"/>
        <v>-1</v>
      </c>
      <c r="X33" s="34">
        <f t="shared" si="7"/>
        <v>1</v>
      </c>
      <c r="Y33" s="2">
        <f t="shared" si="8"/>
        <v>2</v>
      </c>
      <c r="Z33" s="2" t="str">
        <f t="shared" si="31"/>
        <v>S</v>
      </c>
      <c r="AA33" s="2">
        <f t="shared" si="32"/>
        <v>95</v>
      </c>
      <c r="AB33" s="2" t="str">
        <f t="shared" si="10"/>
        <v>R</v>
      </c>
      <c r="AC33" s="35">
        <f t="shared" si="11"/>
        <v>36100.982943963616</v>
      </c>
      <c r="AD33" s="36"/>
      <c r="AE33" s="35">
        <f t="shared" si="12"/>
        <v>1183.6387850479873</v>
      </c>
    </row>
    <row r="34" spans="1:31" ht="18">
      <c r="A34" s="23"/>
      <c r="B34" s="49" t="s">
        <v>23</v>
      </c>
      <c r="C34" s="3">
        <v>2</v>
      </c>
      <c r="D34" s="25">
        <v>30</v>
      </c>
      <c r="E34" s="3" t="s">
        <v>25</v>
      </c>
      <c r="F34" s="41">
        <v>95</v>
      </c>
      <c r="G34" s="40">
        <v>0</v>
      </c>
      <c r="H34" s="50" t="s">
        <v>22</v>
      </c>
      <c r="I34" s="53">
        <f t="shared" si="0"/>
      </c>
      <c r="J34" s="26">
        <f t="shared" si="21"/>
        <v>29.99999999994775</v>
      </c>
      <c r="K34" s="27">
        <v>12.5</v>
      </c>
      <c r="L34" s="28">
        <f t="shared" si="22"/>
        <v>2.39999999999582</v>
      </c>
      <c r="M34" s="29">
        <f>IF(R34=1,12,IF(S34=1,4,IF(T34=1,6,IF(U34=1,8,IF(V34=1,5,1)))))</f>
        <v>1</v>
      </c>
      <c r="N34" s="51">
        <f>O33+L34/24</f>
        <v>36101.74961063028</v>
      </c>
      <c r="O34" s="31">
        <f t="shared" si="24"/>
        <v>36101.79127729694</v>
      </c>
      <c r="P34" s="46">
        <f t="shared" si="26"/>
        <v>228.1906551283712</v>
      </c>
      <c r="Q34" s="46">
        <f>P34/24</f>
        <v>9.507943963682132</v>
      </c>
      <c r="R34" s="2">
        <f t="shared" si="1"/>
        <v>0</v>
      </c>
      <c r="S34" s="2">
        <f t="shared" si="2"/>
        <v>0</v>
      </c>
      <c r="T34" s="2">
        <f t="shared" si="30"/>
        <v>0</v>
      </c>
      <c r="U34" s="2">
        <f t="shared" si="19"/>
        <v>0</v>
      </c>
      <c r="V34" s="2">
        <f>IF(A34="D",1,0)</f>
        <v>0</v>
      </c>
      <c r="W34" s="33">
        <f t="shared" si="6"/>
        <v>-1</v>
      </c>
      <c r="X34" s="34">
        <f t="shared" si="7"/>
        <v>1</v>
      </c>
      <c r="Y34" s="2">
        <f t="shared" si="8"/>
        <v>2</v>
      </c>
      <c r="Z34" s="2" t="str">
        <f t="shared" si="31"/>
        <v>S</v>
      </c>
      <c r="AA34" s="2">
        <f t="shared" si="32"/>
        <v>95</v>
      </c>
      <c r="AB34" s="2">
        <f t="shared" si="10"/>
        <v>0</v>
      </c>
      <c r="AC34" s="35">
        <f t="shared" si="11"/>
        <v>0</v>
      </c>
      <c r="AD34" s="36"/>
      <c r="AE34" s="35">
        <f t="shared" si="12"/>
        <v>0</v>
      </c>
    </row>
    <row r="35" spans="1:31" ht="18">
      <c r="A35" s="37"/>
      <c r="B35" s="38" t="s">
        <v>23</v>
      </c>
      <c r="C35" s="39">
        <v>3</v>
      </c>
      <c r="D35" s="40">
        <v>0</v>
      </c>
      <c r="E35" s="39" t="s">
        <v>25</v>
      </c>
      <c r="F35" s="41">
        <v>95</v>
      </c>
      <c r="G35" s="40">
        <v>0</v>
      </c>
      <c r="H35" s="50" t="s">
        <v>22</v>
      </c>
      <c r="I35" s="116">
        <f t="shared" si="0"/>
      </c>
      <c r="J35" s="42">
        <f t="shared" si="21"/>
        <v>29.99999999999126</v>
      </c>
      <c r="K35" s="27">
        <v>12.5</v>
      </c>
      <c r="L35" s="43">
        <f t="shared" si="22"/>
        <v>2.399999999999301</v>
      </c>
      <c r="M35" s="29">
        <f>IF(R35=1,12,IF(S35=1,4,IF(T35=1,6,IF(U35=1,8,IF(V35=1,5,1)))))</f>
        <v>1</v>
      </c>
      <c r="N35" s="44">
        <f>O34+L35/24</f>
        <v>36101.89127729694</v>
      </c>
      <c r="O35" s="45">
        <f t="shared" si="24"/>
        <v>36101.932943963606</v>
      </c>
      <c r="P35" s="46">
        <f>P34+L35+M35</f>
        <v>231.59065512837049</v>
      </c>
      <c r="Q35" s="46">
        <f t="shared" si="18"/>
        <v>9.64961063034877</v>
      </c>
      <c r="R35" s="68">
        <f t="shared" si="1"/>
        <v>0</v>
      </c>
      <c r="S35" s="2">
        <f t="shared" si="2"/>
        <v>0</v>
      </c>
      <c r="T35" s="2">
        <f t="shared" si="30"/>
        <v>0</v>
      </c>
      <c r="U35" s="2">
        <f t="shared" si="19"/>
        <v>0</v>
      </c>
      <c r="V35" s="2">
        <f>IF(A35="D",1,0)</f>
        <v>0</v>
      </c>
      <c r="W35" s="33">
        <f t="shared" si="6"/>
        <v>-1</v>
      </c>
      <c r="X35" s="34">
        <f t="shared" si="7"/>
        <v>1</v>
      </c>
      <c r="Y35" s="2">
        <f t="shared" si="8"/>
        <v>3</v>
      </c>
      <c r="Z35" s="2" t="str">
        <f t="shared" si="31"/>
        <v>S</v>
      </c>
      <c r="AA35" s="2">
        <f t="shared" si="32"/>
        <v>95</v>
      </c>
      <c r="AB35" s="2">
        <f t="shared" si="10"/>
        <v>0</v>
      </c>
      <c r="AC35" s="35">
        <f>IF(R35=1,N35,IF(S35=1,N35,IF(T35=1,N35,IF(U35=1,N35,IF(V35=1,N35,0)))))</f>
        <v>0</v>
      </c>
      <c r="AD35" s="47">
        <v>35021</v>
      </c>
      <c r="AE35" s="48">
        <f t="shared" si="12"/>
        <v>-1148.2295081967213</v>
      </c>
    </row>
    <row r="36" spans="1:31" s="63" customFormat="1" ht="4.5" customHeight="1">
      <c r="A36" s="16"/>
      <c r="B36" s="54"/>
      <c r="C36" s="19"/>
      <c r="D36" s="55"/>
      <c r="E36" s="19"/>
      <c r="F36" s="20"/>
      <c r="G36" s="55"/>
      <c r="H36" s="18"/>
      <c r="I36" s="56"/>
      <c r="J36" s="57"/>
      <c r="K36" s="27">
        <v>12.5</v>
      </c>
      <c r="L36" s="58"/>
      <c r="M36" s="59"/>
      <c r="N36" s="60"/>
      <c r="O36" s="61"/>
      <c r="P36" s="62"/>
      <c r="Q36" s="62"/>
      <c r="V36" s="64"/>
      <c r="W36" s="64"/>
      <c r="X36" s="65"/>
      <c r="AC36" s="66"/>
      <c r="AD36" s="66"/>
      <c r="AE36" s="67"/>
    </row>
    <row r="37" spans="1:31" ht="18">
      <c r="A37" s="37"/>
      <c r="B37" s="38" t="s">
        <v>23</v>
      </c>
      <c r="C37" s="39">
        <v>4</v>
      </c>
      <c r="D37" s="40">
        <v>0</v>
      </c>
      <c r="E37" s="39" t="s">
        <v>25</v>
      </c>
      <c r="F37" s="41">
        <v>95</v>
      </c>
      <c r="G37" s="40">
        <v>0</v>
      </c>
      <c r="H37" s="50" t="s">
        <v>22</v>
      </c>
      <c r="I37" s="116">
        <f t="shared" si="0"/>
      </c>
      <c r="J37" s="42">
        <f>180/PI()*60*ACOS((SIN(PI()/180*W35*(C35+D35/60))*SIN(PI()/180*W37*(C37+D37/60)))+(COS(PI()/180*W35*(C35+D35/60))*COS(PI()/180*W37*(C37+D37/60))*COS(PI()/180*(X37*(F37+G37/60)-X35*(F35+G35/60)))))</f>
        <v>60.00000000001535</v>
      </c>
      <c r="K37" s="27">
        <v>12.5</v>
      </c>
      <c r="L37" s="43">
        <f>J37/K37</f>
        <v>4.800000000001228</v>
      </c>
      <c r="M37" s="29">
        <f aca="true" t="shared" si="35" ref="M37:M44">IF(R37=1,12,IF(S37=1,4,IF(T37=1,6,IF(U37=1,8,IF(V37=1,5,1)))))</f>
        <v>1</v>
      </c>
      <c r="N37" s="44">
        <f>O35+L37/24</f>
        <v>36102.1329439636</v>
      </c>
      <c r="O37" s="45">
        <f>N37+M37/24</f>
        <v>36102.17461063027</v>
      </c>
      <c r="P37" s="46">
        <f>P35+L37+M37</f>
        <v>237.39065512837172</v>
      </c>
      <c r="Q37" s="46">
        <f>P37/24</f>
        <v>9.891277297015488</v>
      </c>
      <c r="R37" s="68">
        <f t="shared" si="1"/>
        <v>0</v>
      </c>
      <c r="S37" s="2">
        <f t="shared" si="2"/>
        <v>0</v>
      </c>
      <c r="T37" s="2">
        <f aca="true" t="shared" si="36" ref="T37:T59">IF(A37="R E",1,0)</f>
        <v>0</v>
      </c>
      <c r="U37" s="2">
        <f aca="true" t="shared" si="37" ref="U37:U49">IF(A37="S",1,0)</f>
        <v>0</v>
      </c>
      <c r="V37" s="2">
        <f>IF(A37="D",1,0)</f>
        <v>0</v>
      </c>
      <c r="W37" s="33">
        <f t="shared" si="6"/>
        <v>-1</v>
      </c>
      <c r="X37" s="34">
        <f t="shared" si="7"/>
        <v>1</v>
      </c>
      <c r="Y37" s="2">
        <f t="shared" si="8"/>
        <v>4</v>
      </c>
      <c r="Z37" s="2" t="str">
        <f aca="true" t="shared" si="38" ref="Z37:Z53">E37</f>
        <v>S</v>
      </c>
      <c r="AA37" s="2">
        <f aca="true" t="shared" si="39" ref="AA37:AA53">F37</f>
        <v>95</v>
      </c>
      <c r="AB37" s="2">
        <f t="shared" si="10"/>
        <v>0</v>
      </c>
      <c r="AC37" s="35">
        <f>IF(R37=1,N37,IF(S37=1,N37,IF(T37=1,N37,IF(U37=1,N37,IF(V37=1,N37,0)))))</f>
        <v>0</v>
      </c>
      <c r="AD37" s="47">
        <v>35025</v>
      </c>
      <c r="AE37" s="48">
        <f t="shared" si="12"/>
        <v>-1148.360655737705</v>
      </c>
    </row>
    <row r="38" spans="1:31" ht="18">
      <c r="A38" s="23" t="s">
        <v>24</v>
      </c>
      <c r="B38" s="49" t="s">
        <v>70</v>
      </c>
      <c r="C38" s="3">
        <v>5</v>
      </c>
      <c r="D38" s="25">
        <v>0</v>
      </c>
      <c r="E38" s="52" t="s">
        <v>25</v>
      </c>
      <c r="F38" s="30">
        <v>95</v>
      </c>
      <c r="G38" s="25">
        <v>0</v>
      </c>
      <c r="H38" s="53" t="s">
        <v>22</v>
      </c>
      <c r="I38" s="53">
        <f t="shared" si="0"/>
        <v>1183.6844134632875</v>
      </c>
      <c r="J38" s="26">
        <f>180/PI()*60*ACOS((SIN(PI()/180*W37*(C37+D37/60))*SIN(PI()/180*W38*(C38+D38/60)))+(COS(PI()/180*W37*(C37+D37/60))*COS(PI()/180*W38*(C38+D38/60))*COS(PI()/180*(X38*(F38+G38/60)-X37*(F37+G37/60)))))</f>
        <v>60.00000000001535</v>
      </c>
      <c r="K38" s="27">
        <v>12.5</v>
      </c>
      <c r="L38" s="28">
        <f t="shared" si="22"/>
        <v>4.800000000001228</v>
      </c>
      <c r="M38" s="29">
        <f t="shared" si="35"/>
        <v>12</v>
      </c>
      <c r="N38" s="51">
        <f>O37+L38/24</f>
        <v>36102.374610630264</v>
      </c>
      <c r="O38" s="31">
        <f>N38+M38/24</f>
        <v>36102.874610630264</v>
      </c>
      <c r="P38" s="46">
        <f>P37+L38+M38</f>
        <v>254.19065512837295</v>
      </c>
      <c r="Q38" s="46">
        <f aca="true" t="shared" si="40" ref="Q38:Q67">P38/24</f>
        <v>10.591277297015539</v>
      </c>
      <c r="R38" s="2">
        <f t="shared" si="1"/>
        <v>1</v>
      </c>
      <c r="S38" s="2">
        <f t="shared" si="2"/>
        <v>0</v>
      </c>
      <c r="T38" s="2">
        <f t="shared" si="36"/>
        <v>0</v>
      </c>
      <c r="U38" s="2">
        <f t="shared" si="37"/>
        <v>0</v>
      </c>
      <c r="V38" s="2">
        <f aca="true" t="shared" si="41" ref="V38:V61">IF(A38="D",1,0)</f>
        <v>0</v>
      </c>
      <c r="W38" s="33">
        <f t="shared" si="6"/>
        <v>-1</v>
      </c>
      <c r="X38" s="34">
        <f t="shared" si="7"/>
        <v>1</v>
      </c>
      <c r="Y38" s="2">
        <f t="shared" si="8"/>
        <v>5</v>
      </c>
      <c r="Z38" s="2" t="str">
        <f t="shared" si="38"/>
        <v>S</v>
      </c>
      <c r="AA38" s="2">
        <f t="shared" si="39"/>
        <v>95</v>
      </c>
      <c r="AB38" s="2" t="str">
        <f t="shared" si="10"/>
        <v>R</v>
      </c>
      <c r="AC38" s="35">
        <f t="shared" si="11"/>
        <v>36102.374610630264</v>
      </c>
      <c r="AD38" s="36"/>
      <c r="AE38" s="35">
        <f t="shared" si="12"/>
        <v>1183.6844134632875</v>
      </c>
    </row>
    <row r="39" spans="1:31" ht="18">
      <c r="A39" s="23"/>
      <c r="B39" s="49" t="s">
        <v>23</v>
      </c>
      <c r="C39" s="3">
        <v>6</v>
      </c>
      <c r="D39" s="25">
        <v>0</v>
      </c>
      <c r="E39" s="52" t="s">
        <v>25</v>
      </c>
      <c r="F39" s="30">
        <v>95</v>
      </c>
      <c r="G39" s="25">
        <v>0</v>
      </c>
      <c r="H39" s="53" t="s">
        <v>22</v>
      </c>
      <c r="I39" s="53">
        <f t="shared" si="0"/>
      </c>
      <c r="J39" s="26">
        <f aca="true" t="shared" si="42" ref="J39:J58">180/PI()*60*ACOS((SIN(PI()/180*W38*(C38+D38/60))*SIN(PI()/180*W39*(C39+D39/60)))+(COS(PI()/180*W38*(C38+D38/60))*COS(PI()/180*W39*(C39+D39/60))*COS(PI()/180*(X39*(F39+G39/60)-X38*(F38+G38/60)))))</f>
        <v>60.00000000001535</v>
      </c>
      <c r="K39" s="27">
        <v>12.5</v>
      </c>
      <c r="L39" s="28">
        <f t="shared" si="22"/>
        <v>4.800000000001228</v>
      </c>
      <c r="M39" s="29">
        <f t="shared" si="35"/>
        <v>1</v>
      </c>
      <c r="N39" s="51">
        <f aca="true" t="shared" si="43" ref="N39:N64">O38+L39/24</f>
        <v>36103.07461063026</v>
      </c>
      <c r="O39" s="31">
        <f t="shared" si="24"/>
        <v>36103.116277296926</v>
      </c>
      <c r="P39" s="46">
        <f aca="true" t="shared" si="44" ref="P39:P63">P38+L39+M39</f>
        <v>259.99065512837416</v>
      </c>
      <c r="Q39" s="46">
        <f t="shared" si="40"/>
        <v>10.832943963682256</v>
      </c>
      <c r="R39" s="2">
        <f t="shared" si="1"/>
        <v>0</v>
      </c>
      <c r="S39" s="2">
        <f t="shared" si="2"/>
        <v>0</v>
      </c>
      <c r="T39" s="2">
        <f t="shared" si="36"/>
        <v>0</v>
      </c>
      <c r="U39" s="2">
        <f t="shared" si="37"/>
        <v>0</v>
      </c>
      <c r="V39" s="2">
        <f t="shared" si="41"/>
        <v>0</v>
      </c>
      <c r="W39" s="33">
        <f t="shared" si="6"/>
        <v>-1</v>
      </c>
      <c r="X39" s="34">
        <f t="shared" si="7"/>
        <v>1</v>
      </c>
      <c r="Y39" s="2">
        <f t="shared" si="8"/>
        <v>6</v>
      </c>
      <c r="Z39" s="2" t="str">
        <f t="shared" si="38"/>
        <v>S</v>
      </c>
      <c r="AA39" s="2">
        <f t="shared" si="39"/>
        <v>95</v>
      </c>
      <c r="AB39" s="2">
        <f t="shared" si="10"/>
        <v>0</v>
      </c>
      <c r="AC39" s="35">
        <f t="shared" si="11"/>
        <v>0</v>
      </c>
      <c r="AD39" s="36"/>
      <c r="AE39" s="35">
        <f t="shared" si="12"/>
        <v>0</v>
      </c>
    </row>
    <row r="40" spans="1:31" ht="18">
      <c r="A40" s="37"/>
      <c r="B40" s="38" t="s">
        <v>23</v>
      </c>
      <c r="C40" s="39">
        <v>7</v>
      </c>
      <c r="D40" s="40">
        <v>0</v>
      </c>
      <c r="E40" s="39" t="s">
        <v>25</v>
      </c>
      <c r="F40" s="30">
        <v>95</v>
      </c>
      <c r="G40" s="40">
        <v>0</v>
      </c>
      <c r="H40" s="50" t="s">
        <v>22</v>
      </c>
      <c r="I40" s="53">
        <f t="shared" si="0"/>
      </c>
      <c r="J40" s="42">
        <f t="shared" si="42"/>
        <v>60.00000000003748</v>
      </c>
      <c r="K40" s="27">
        <v>12.5</v>
      </c>
      <c r="L40" s="43">
        <f t="shared" si="22"/>
        <v>4.800000000002998</v>
      </c>
      <c r="M40" s="29">
        <f t="shared" si="35"/>
        <v>1</v>
      </c>
      <c r="N40" s="51">
        <f t="shared" si="43"/>
        <v>36103.31627729692</v>
      </c>
      <c r="O40" s="45">
        <f t="shared" si="24"/>
        <v>36103.35794396359</v>
      </c>
      <c r="P40" s="46">
        <f t="shared" si="44"/>
        <v>265.7906551283772</v>
      </c>
      <c r="Q40" s="46">
        <f t="shared" si="40"/>
        <v>11.07461063034905</v>
      </c>
      <c r="R40" s="2">
        <f t="shared" si="1"/>
        <v>0</v>
      </c>
      <c r="S40" s="68">
        <f t="shared" si="2"/>
        <v>0</v>
      </c>
      <c r="T40" s="2">
        <f t="shared" si="36"/>
        <v>0</v>
      </c>
      <c r="U40" s="2">
        <f t="shared" si="37"/>
        <v>0</v>
      </c>
      <c r="V40" s="2">
        <f t="shared" si="41"/>
        <v>0</v>
      </c>
      <c r="W40" s="33">
        <f t="shared" si="6"/>
        <v>-1</v>
      </c>
      <c r="X40" s="34">
        <f t="shared" si="7"/>
        <v>1</v>
      </c>
      <c r="Y40" s="2">
        <f t="shared" si="8"/>
        <v>7</v>
      </c>
      <c r="Z40" s="2" t="str">
        <f t="shared" si="38"/>
        <v>S</v>
      </c>
      <c r="AA40" s="2">
        <f t="shared" si="39"/>
        <v>95</v>
      </c>
      <c r="AB40" s="2">
        <f t="shared" si="10"/>
        <v>0</v>
      </c>
      <c r="AC40" s="35">
        <f t="shared" si="11"/>
        <v>0</v>
      </c>
      <c r="AD40" s="47">
        <v>35182</v>
      </c>
      <c r="AE40" s="48">
        <f t="shared" si="12"/>
        <v>-1153.5081967213114</v>
      </c>
    </row>
    <row r="41" spans="1:31" ht="18">
      <c r="A41" s="23" t="s">
        <v>24</v>
      </c>
      <c r="B41" s="49" t="s">
        <v>71</v>
      </c>
      <c r="C41" s="3">
        <v>8</v>
      </c>
      <c r="D41" s="25">
        <v>0</v>
      </c>
      <c r="E41" s="52" t="s">
        <v>25</v>
      </c>
      <c r="F41" s="30">
        <v>95</v>
      </c>
      <c r="G41" s="25">
        <v>0</v>
      </c>
      <c r="H41" s="53" t="s">
        <v>22</v>
      </c>
      <c r="I41" s="53">
        <f t="shared" si="0"/>
        <v>1183.7232112774946</v>
      </c>
      <c r="J41" s="26">
        <f t="shared" si="42"/>
        <v>60.00000000001535</v>
      </c>
      <c r="K41" s="27">
        <v>12.5</v>
      </c>
      <c r="L41" s="28">
        <f t="shared" si="22"/>
        <v>4.800000000001228</v>
      </c>
      <c r="M41" s="29">
        <f t="shared" si="35"/>
        <v>12</v>
      </c>
      <c r="N41" s="51">
        <f t="shared" si="43"/>
        <v>36103.557943963584</v>
      </c>
      <c r="O41" s="31">
        <f t="shared" si="24"/>
        <v>36104.057943963584</v>
      </c>
      <c r="P41" s="46">
        <f t="shared" si="44"/>
        <v>282.5906551283784</v>
      </c>
      <c r="Q41" s="46">
        <f t="shared" si="40"/>
        <v>11.7746106303491</v>
      </c>
      <c r="R41" s="2">
        <f t="shared" si="1"/>
        <v>1</v>
      </c>
      <c r="S41" s="2">
        <f t="shared" si="2"/>
        <v>0</v>
      </c>
      <c r="T41" s="2">
        <f t="shared" si="36"/>
        <v>0</v>
      </c>
      <c r="U41" s="2">
        <f t="shared" si="37"/>
        <v>0</v>
      </c>
      <c r="V41" s="2">
        <f t="shared" si="41"/>
        <v>0</v>
      </c>
      <c r="W41" s="33">
        <f t="shared" si="6"/>
        <v>-1</v>
      </c>
      <c r="X41" s="34">
        <f t="shared" si="7"/>
        <v>1</v>
      </c>
      <c r="Y41" s="2">
        <f t="shared" si="8"/>
        <v>8</v>
      </c>
      <c r="Z41" s="2" t="str">
        <f t="shared" si="38"/>
        <v>S</v>
      </c>
      <c r="AA41" s="2">
        <f t="shared" si="39"/>
        <v>95</v>
      </c>
      <c r="AB41" s="2" t="str">
        <f t="shared" si="10"/>
        <v>R</v>
      </c>
      <c r="AC41" s="35">
        <f t="shared" si="11"/>
        <v>36103.557943963584</v>
      </c>
      <c r="AD41" s="36"/>
      <c r="AE41" s="35">
        <f t="shared" si="12"/>
        <v>1183.7232112774946</v>
      </c>
    </row>
    <row r="42" spans="1:31" ht="18">
      <c r="A42" s="23" t="s">
        <v>73</v>
      </c>
      <c r="B42" s="49" t="s">
        <v>74</v>
      </c>
      <c r="C42" s="3">
        <v>8</v>
      </c>
      <c r="D42" s="25">
        <v>0</v>
      </c>
      <c r="E42" s="52" t="s">
        <v>25</v>
      </c>
      <c r="F42" s="30">
        <v>110</v>
      </c>
      <c r="G42" s="25">
        <v>0</v>
      </c>
      <c r="H42" s="53" t="s">
        <v>22</v>
      </c>
      <c r="I42" s="53">
        <f>IF(R42=1,AE42,IF(S42=1,AE42,IF(T42=1,AE42,"")))</f>
        <v>1183.8370027125557</v>
      </c>
      <c r="J42" s="26">
        <f>180/PI()*60*ACOS((SIN(PI()/180*W41*(C41+D41/60))*SIN(PI()/180*W42*(C42+D42/60)))+(COS(PI()/180*W41*(C41+D41/60))*COS(PI()/180*W42*(C42+D42/60))*COS(PI()/180*(X42*(F42+G42/60)-X41*(F41+G41/60)))))</f>
        <v>891.1916308095829</v>
      </c>
      <c r="K42" s="27">
        <v>12.5</v>
      </c>
      <c r="L42" s="28">
        <f>J42/K42</f>
        <v>71.29533046476664</v>
      </c>
      <c r="M42" s="29">
        <f t="shared" si="35"/>
        <v>4</v>
      </c>
      <c r="N42" s="51">
        <f>O41+L42/24</f>
        <v>36107.02858273295</v>
      </c>
      <c r="O42" s="31">
        <f>N42+M42/24</f>
        <v>36107.195249399614</v>
      </c>
      <c r="P42" s="46">
        <f>P41+L42+M42</f>
        <v>357.88598559314505</v>
      </c>
      <c r="Q42" s="46">
        <f t="shared" si="40"/>
        <v>14.911916066381044</v>
      </c>
      <c r="R42" s="2">
        <f>IF(A42="R",1,0)</f>
        <v>0</v>
      </c>
      <c r="S42" s="2">
        <f>IF(A42="V",1,0)</f>
        <v>1</v>
      </c>
      <c r="T42" s="2">
        <f>IF(A42="R E",1,0)</f>
        <v>0</v>
      </c>
      <c r="U42" s="2">
        <f>IF(A42="S",1,0)</f>
        <v>0</v>
      </c>
      <c r="V42" s="2">
        <f>IF(A42="D",1,0)</f>
        <v>0</v>
      </c>
      <c r="W42" s="33">
        <f>IF(E42="N",1,-1)</f>
        <v>-1</v>
      </c>
      <c r="X42" s="34">
        <f>IF(H42="W",1,-1)</f>
        <v>1</v>
      </c>
      <c r="Y42" s="2">
        <f>C42</f>
        <v>8</v>
      </c>
      <c r="Z42" s="2" t="str">
        <f>E42</f>
        <v>S</v>
      </c>
      <c r="AA42" s="2">
        <f>F42</f>
        <v>110</v>
      </c>
      <c r="AB42" s="2" t="str">
        <f>IF(R42=1,"R",IF(S42=1,"V",0))</f>
        <v>V</v>
      </c>
      <c r="AC42" s="35">
        <f>IF(R42=1,N42,IF(S42=1,N42,IF(T42=1,N42,IF(U42=1,N42,IF(V42=1,N42,0)))))</f>
        <v>36107.02858273295</v>
      </c>
      <c r="AD42" s="36"/>
      <c r="AE42" s="35">
        <f>(AC42-AD42)/30.5</f>
        <v>1183.8370027125557</v>
      </c>
    </row>
    <row r="43" spans="1:31" ht="18">
      <c r="A43" s="37"/>
      <c r="B43" s="38" t="s">
        <v>23</v>
      </c>
      <c r="C43" s="39">
        <v>7</v>
      </c>
      <c r="D43" s="40">
        <v>0</v>
      </c>
      <c r="E43" s="39" t="s">
        <v>25</v>
      </c>
      <c r="F43" s="30">
        <v>110</v>
      </c>
      <c r="G43" s="40">
        <v>0</v>
      </c>
      <c r="H43" s="50" t="s">
        <v>22</v>
      </c>
      <c r="I43" s="53">
        <f t="shared" si="0"/>
      </c>
      <c r="J43" s="26">
        <f>180/PI()*60*ACOS((SIN(PI()/180*W42*(C42+D42/60))*SIN(PI()/180*W43*(C43+D43/60)))+(COS(PI()/180*W42*(C42+D42/60))*COS(PI()/180*W43*(C43+D43/60))*COS(PI()/180*(X43*(F43+G43/60)-X42*(F42+G42/60)))))</f>
        <v>60.00000000001535</v>
      </c>
      <c r="K43" s="27">
        <v>12.5</v>
      </c>
      <c r="L43" s="43">
        <f t="shared" si="22"/>
        <v>4.800000000001228</v>
      </c>
      <c r="M43" s="29">
        <f t="shared" si="35"/>
        <v>1</v>
      </c>
      <c r="N43" s="51">
        <f t="shared" si="43"/>
        <v>36107.39524939961</v>
      </c>
      <c r="O43" s="45">
        <f t="shared" si="24"/>
        <v>36107.436916066275</v>
      </c>
      <c r="P43" s="46">
        <f t="shared" si="44"/>
        <v>363.68598559314626</v>
      </c>
      <c r="Q43" s="46">
        <f t="shared" si="40"/>
        <v>15.153582733047761</v>
      </c>
      <c r="R43" s="68">
        <f t="shared" si="1"/>
        <v>0</v>
      </c>
      <c r="S43" s="2">
        <f t="shared" si="2"/>
        <v>0</v>
      </c>
      <c r="T43" s="2">
        <f t="shared" si="36"/>
        <v>0</v>
      </c>
      <c r="U43" s="2">
        <f t="shared" si="37"/>
        <v>0</v>
      </c>
      <c r="V43" s="2">
        <f t="shared" si="41"/>
        <v>0</v>
      </c>
      <c r="W43" s="33">
        <f t="shared" si="6"/>
        <v>-1</v>
      </c>
      <c r="X43" s="34">
        <f t="shared" si="7"/>
        <v>1</v>
      </c>
      <c r="Y43" s="2">
        <f t="shared" si="8"/>
        <v>7</v>
      </c>
      <c r="Z43" s="2" t="str">
        <f t="shared" si="38"/>
        <v>S</v>
      </c>
      <c r="AA43" s="2">
        <f t="shared" si="39"/>
        <v>110</v>
      </c>
      <c r="AB43" s="2">
        <f t="shared" si="10"/>
        <v>0</v>
      </c>
      <c r="AC43" s="35">
        <f t="shared" si="11"/>
        <v>0</v>
      </c>
      <c r="AD43" s="47">
        <v>35027</v>
      </c>
      <c r="AE43" s="48">
        <f t="shared" si="12"/>
        <v>-1148.4262295081967</v>
      </c>
    </row>
    <row r="44" spans="1:31" ht="18">
      <c r="A44" s="23"/>
      <c r="B44" s="49" t="s">
        <v>23</v>
      </c>
      <c r="C44" s="3">
        <v>6</v>
      </c>
      <c r="D44" s="25">
        <v>0</v>
      </c>
      <c r="E44" s="52" t="s">
        <v>25</v>
      </c>
      <c r="F44" s="30">
        <v>110</v>
      </c>
      <c r="G44" s="25">
        <v>0</v>
      </c>
      <c r="H44" s="53" t="s">
        <v>22</v>
      </c>
      <c r="I44" s="53">
        <f>IF(R44=1,AE44,IF(S44=1,AE44,IF(T44=1,AE44,"")))</f>
      </c>
      <c r="J44" s="26">
        <f t="shared" si="42"/>
        <v>60.00000000003748</v>
      </c>
      <c r="K44" s="27">
        <v>12.5</v>
      </c>
      <c r="L44" s="28">
        <f>J44/K44</f>
        <v>4.800000000002998</v>
      </c>
      <c r="M44" s="29">
        <f t="shared" si="35"/>
        <v>1</v>
      </c>
      <c r="N44" s="51">
        <f t="shared" si="43"/>
        <v>36107.63691606627</v>
      </c>
      <c r="O44" s="31">
        <f>N44+M44/24</f>
        <v>36107.67858273294</v>
      </c>
      <c r="P44" s="46">
        <f t="shared" si="44"/>
        <v>369.4859855931493</v>
      </c>
      <c r="Q44" s="46">
        <f t="shared" si="40"/>
        <v>15.395249399714553</v>
      </c>
      <c r="R44" s="2">
        <f>IF(A44="R",1,0)</f>
        <v>0</v>
      </c>
      <c r="S44" s="2">
        <f>IF(A44="V",1,0)</f>
        <v>0</v>
      </c>
      <c r="T44" s="2">
        <f t="shared" si="36"/>
        <v>0</v>
      </c>
      <c r="U44" s="2">
        <f t="shared" si="37"/>
        <v>0</v>
      </c>
      <c r="V44" s="2">
        <f t="shared" si="41"/>
        <v>0</v>
      </c>
      <c r="W44" s="33">
        <f>IF(E44="N",1,-1)</f>
        <v>-1</v>
      </c>
      <c r="X44" s="34">
        <f>IF(H44="W",1,-1)</f>
        <v>1</v>
      </c>
      <c r="Y44" s="2">
        <f>C44</f>
        <v>6</v>
      </c>
      <c r="Z44" s="2" t="str">
        <f t="shared" si="38"/>
        <v>S</v>
      </c>
      <c r="AA44" s="2">
        <f t="shared" si="39"/>
        <v>110</v>
      </c>
      <c r="AB44" s="2">
        <f>IF(R44=1,"R",IF(S44=1,"V",0))</f>
        <v>0</v>
      </c>
      <c r="AC44" s="35">
        <f t="shared" si="11"/>
        <v>0</v>
      </c>
      <c r="AD44" s="36"/>
      <c r="AE44" s="35">
        <f>(AC44-AD44)/30.5</f>
        <v>0</v>
      </c>
    </row>
    <row r="45" spans="1:31" ht="18">
      <c r="A45" s="23" t="s">
        <v>24</v>
      </c>
      <c r="B45" s="49" t="s">
        <v>72</v>
      </c>
      <c r="C45" s="3">
        <v>5</v>
      </c>
      <c r="D45" s="25">
        <v>0</v>
      </c>
      <c r="E45" s="52" t="s">
        <v>25</v>
      </c>
      <c r="F45" s="30">
        <v>110</v>
      </c>
      <c r="G45" s="25">
        <v>0</v>
      </c>
      <c r="H45" s="53" t="s">
        <v>22</v>
      </c>
      <c r="I45" s="53">
        <f>IF(R45=1,AE45,IF(S45=1,AE45,IF(T45=1,AE45,"")))</f>
        <v>1183.8648715650143</v>
      </c>
      <c r="J45" s="26">
        <f>180/PI()*60*ACOS((SIN(PI()/180*W44*(C44+D44/60))*SIN(PI()/180*W45*(C45+D45/60)))+(COS(PI()/180*W44*(C44+D44/60))*COS(PI()/180*W45*(C45+D45/60))*COS(PI()/180*(X45*(F45+G45/60)-X44*(F44+G44/60)))))</f>
        <v>60.00000000001535</v>
      </c>
      <c r="K45" s="27">
        <v>12.5</v>
      </c>
      <c r="L45" s="28">
        <f>J45/K45</f>
        <v>4.800000000001228</v>
      </c>
      <c r="M45" s="29">
        <f>IF(R45=1,12,IF(S45=1,4,IF(T45=1,6,IF(U45=1,8,IF(V45=1,5,1)))))+8</f>
        <v>20</v>
      </c>
      <c r="N45" s="51">
        <f t="shared" si="43"/>
        <v>36107.878582732934</v>
      </c>
      <c r="O45" s="31">
        <f>N45+M45/24</f>
        <v>36108.71191606627</v>
      </c>
      <c r="P45" s="46">
        <f>P44+L45+M45</f>
        <v>394.2859855931505</v>
      </c>
      <c r="Q45" s="46">
        <f t="shared" si="40"/>
        <v>16.428582733047936</v>
      </c>
      <c r="R45" s="2">
        <f>IF(A45="R",1,0)</f>
        <v>1</v>
      </c>
      <c r="S45" s="2">
        <f>IF(A45="V",1,0)</f>
        <v>0</v>
      </c>
      <c r="T45" s="2">
        <f>IF(A45="R E",1,0)</f>
        <v>0</v>
      </c>
      <c r="U45" s="2">
        <f>IF(A45="S",1,0)</f>
        <v>0</v>
      </c>
      <c r="V45" s="2">
        <f>IF(A45="D",1,0)</f>
        <v>0</v>
      </c>
      <c r="W45" s="33">
        <f>IF(E45="N",1,-1)</f>
        <v>-1</v>
      </c>
      <c r="X45" s="34">
        <f>IF(H45="W",1,-1)</f>
        <v>1</v>
      </c>
      <c r="Y45" s="2">
        <f>C45</f>
        <v>5</v>
      </c>
      <c r="Z45" s="2" t="str">
        <f>E45</f>
        <v>S</v>
      </c>
      <c r="AA45" s="2">
        <f>F45</f>
        <v>110</v>
      </c>
      <c r="AB45" s="2" t="str">
        <f>IF(R45=1,"R",IF(S45=1,"V",0))</f>
        <v>R</v>
      </c>
      <c r="AC45" s="35">
        <f>IF(R45=1,N45,IF(S45=1,N45,IF(T45=1,N45,IF(U45=1,N45,IF(V45=1,N45,0)))))</f>
        <v>36107.878582732934</v>
      </c>
      <c r="AD45" s="36"/>
      <c r="AE45" s="35">
        <f>(AC45-AD45)/30.5</f>
        <v>1183.8648715650143</v>
      </c>
    </row>
    <row r="46" spans="1:31" ht="18">
      <c r="A46" s="23"/>
      <c r="B46" s="49" t="s">
        <v>23</v>
      </c>
      <c r="C46" s="3">
        <v>4</v>
      </c>
      <c r="D46" s="25">
        <v>0</v>
      </c>
      <c r="E46" s="52" t="s">
        <v>25</v>
      </c>
      <c r="F46" s="30">
        <v>110</v>
      </c>
      <c r="G46" s="25">
        <v>0</v>
      </c>
      <c r="H46" s="53" t="s">
        <v>22</v>
      </c>
      <c r="I46" s="53">
        <f t="shared" si="0"/>
      </c>
      <c r="J46" s="26">
        <f>180/PI()*60*ACOS((SIN(PI()/180*W45*(C45+D44/60))*SIN(PI()/180*W46*(C46+D46/60)))+(COS(PI()/180*W45*(C45+D45/60))*COS(PI()/180*W46*(C46+D46/60))*COS(PI()/180*(X46*(F46+G46/60)-X44*(F45+G45/60)))))</f>
        <v>60.00000000001535</v>
      </c>
      <c r="K46" s="27">
        <v>12.5</v>
      </c>
      <c r="L46" s="28">
        <f t="shared" si="22"/>
        <v>4.800000000001228</v>
      </c>
      <c r="M46" s="29">
        <f aca="true" t="shared" si="45" ref="M46:M51">IF(R46=1,12,IF(S46=1,4,IF(T46=1,6,IF(U46=1,8,IF(V46=1,5,1)))))</f>
        <v>1</v>
      </c>
      <c r="N46" s="51">
        <f t="shared" si="43"/>
        <v>36108.91191606627</v>
      </c>
      <c r="O46" s="31">
        <f t="shared" si="24"/>
        <v>36108.95358273293</v>
      </c>
      <c r="P46" s="46">
        <f>P44+L46+M46</f>
        <v>375.2859855931505</v>
      </c>
      <c r="Q46" s="46">
        <f t="shared" si="40"/>
        <v>15.63691606638127</v>
      </c>
      <c r="R46" s="2">
        <f t="shared" si="1"/>
        <v>0</v>
      </c>
      <c r="S46" s="2">
        <f t="shared" si="2"/>
        <v>0</v>
      </c>
      <c r="T46" s="2">
        <f t="shared" si="36"/>
        <v>0</v>
      </c>
      <c r="U46" s="2">
        <f t="shared" si="37"/>
        <v>0</v>
      </c>
      <c r="V46" s="2">
        <f t="shared" si="41"/>
        <v>0</v>
      </c>
      <c r="W46" s="33">
        <f t="shared" si="6"/>
        <v>-1</v>
      </c>
      <c r="X46" s="34">
        <f t="shared" si="7"/>
        <v>1</v>
      </c>
      <c r="Y46" s="2">
        <f t="shared" si="8"/>
        <v>4</v>
      </c>
      <c r="Z46" s="2" t="str">
        <f t="shared" si="38"/>
        <v>S</v>
      </c>
      <c r="AA46" s="2">
        <f t="shared" si="39"/>
        <v>110</v>
      </c>
      <c r="AB46" s="2">
        <f t="shared" si="10"/>
        <v>0</v>
      </c>
      <c r="AC46" s="35">
        <f t="shared" si="11"/>
        <v>0</v>
      </c>
      <c r="AD46" s="36"/>
      <c r="AE46" s="35">
        <f t="shared" si="12"/>
        <v>0</v>
      </c>
    </row>
    <row r="47" spans="1:31" ht="18">
      <c r="A47" s="23"/>
      <c r="B47" s="49" t="s">
        <v>23</v>
      </c>
      <c r="C47" s="3">
        <v>3</v>
      </c>
      <c r="D47" s="25">
        <v>0</v>
      </c>
      <c r="E47" s="52" t="s">
        <v>25</v>
      </c>
      <c r="F47" s="30">
        <v>110</v>
      </c>
      <c r="G47" s="25">
        <v>0</v>
      </c>
      <c r="H47" s="53" t="s">
        <v>22</v>
      </c>
      <c r="I47" s="53">
        <f>IF(R47=1,AE47,IF(S47=1,AE47,IF(T47=1,AE47,"")))</f>
      </c>
      <c r="J47" s="26">
        <f t="shared" si="42"/>
        <v>60.00000000001535</v>
      </c>
      <c r="K47" s="27">
        <v>12.5</v>
      </c>
      <c r="L47" s="28">
        <f>J47/K47</f>
        <v>4.800000000001228</v>
      </c>
      <c r="M47" s="29">
        <f t="shared" si="45"/>
        <v>1</v>
      </c>
      <c r="N47" s="51">
        <f t="shared" si="43"/>
        <v>36109.15358273293</v>
      </c>
      <c r="O47" s="31">
        <f>N47+M47/24</f>
        <v>36109.19524939959</v>
      </c>
      <c r="P47" s="46">
        <f t="shared" si="44"/>
        <v>381.0859855931517</v>
      </c>
      <c r="Q47" s="46">
        <f t="shared" si="40"/>
        <v>15.878582733047987</v>
      </c>
      <c r="R47" s="2">
        <f>IF(A47="R",1,0)</f>
        <v>0</v>
      </c>
      <c r="S47" s="2">
        <f>IF(A47="V",1,0)</f>
        <v>0</v>
      </c>
      <c r="T47" s="2">
        <f t="shared" si="36"/>
        <v>0</v>
      </c>
      <c r="U47" s="2">
        <f t="shared" si="37"/>
        <v>0</v>
      </c>
      <c r="V47" s="2">
        <f t="shared" si="41"/>
        <v>0</v>
      </c>
      <c r="W47" s="33">
        <f>IF(E47="N",1,-1)</f>
        <v>-1</v>
      </c>
      <c r="X47" s="34">
        <f>IF(H47="W",1,-1)</f>
        <v>1</v>
      </c>
      <c r="Y47" s="2">
        <f>C47</f>
        <v>3</v>
      </c>
      <c r="Z47" s="2" t="str">
        <f t="shared" si="38"/>
        <v>S</v>
      </c>
      <c r="AA47" s="2">
        <f t="shared" si="39"/>
        <v>110</v>
      </c>
      <c r="AB47" s="2">
        <f>IF(R47=1,"R",IF(S47=1,"V",0))</f>
        <v>0</v>
      </c>
      <c r="AC47" s="35">
        <f t="shared" si="11"/>
        <v>0</v>
      </c>
      <c r="AD47" s="36"/>
      <c r="AE47" s="35">
        <f>(AC47-AD47)/30.5</f>
        <v>0</v>
      </c>
    </row>
    <row r="48" spans="1:31" ht="18">
      <c r="A48" s="37"/>
      <c r="B48" s="38" t="s">
        <v>23</v>
      </c>
      <c r="C48" s="39">
        <v>2</v>
      </c>
      <c r="D48" s="40">
        <v>30</v>
      </c>
      <c r="E48" s="39" t="s">
        <v>25</v>
      </c>
      <c r="F48" s="30">
        <v>110</v>
      </c>
      <c r="G48" s="40">
        <v>0</v>
      </c>
      <c r="H48" s="50" t="s">
        <v>22</v>
      </c>
      <c r="I48" s="116">
        <f t="shared" si="0"/>
      </c>
      <c r="J48" s="42">
        <f t="shared" si="42"/>
        <v>29.99999999999126</v>
      </c>
      <c r="K48" s="27">
        <v>12.5</v>
      </c>
      <c r="L48" s="43">
        <f t="shared" si="22"/>
        <v>2.399999999999301</v>
      </c>
      <c r="M48" s="29">
        <f>IF(R48=1,12,IF(S48=1,4,IF(T48=1,6,IF(U48=1,8,IF(V48=1,5,1)))))</f>
        <v>1</v>
      </c>
      <c r="N48" s="44">
        <f t="shared" si="43"/>
        <v>36109.29524939959</v>
      </c>
      <c r="O48" s="45">
        <f t="shared" si="24"/>
        <v>36109.336916066255</v>
      </c>
      <c r="P48" s="46">
        <f t="shared" si="44"/>
        <v>384.485985593151</v>
      </c>
      <c r="Q48" s="46">
        <f t="shared" si="40"/>
        <v>16.020249399714626</v>
      </c>
      <c r="R48" s="68">
        <f t="shared" si="1"/>
        <v>0</v>
      </c>
      <c r="S48" s="2">
        <f t="shared" si="2"/>
        <v>0</v>
      </c>
      <c r="T48" s="2">
        <f t="shared" si="36"/>
        <v>0</v>
      </c>
      <c r="U48" s="2">
        <f t="shared" si="37"/>
        <v>0</v>
      </c>
      <c r="V48" s="2">
        <f t="shared" si="41"/>
        <v>0</v>
      </c>
      <c r="W48" s="33">
        <f t="shared" si="6"/>
        <v>-1</v>
      </c>
      <c r="X48" s="34">
        <f t="shared" si="7"/>
        <v>1</v>
      </c>
      <c r="Y48" s="2">
        <f t="shared" si="8"/>
        <v>2</v>
      </c>
      <c r="Z48" s="2" t="str">
        <f t="shared" si="38"/>
        <v>S</v>
      </c>
      <c r="AA48" s="2">
        <f t="shared" si="39"/>
        <v>110</v>
      </c>
      <c r="AB48" s="2">
        <f t="shared" si="10"/>
        <v>0</v>
      </c>
      <c r="AC48" s="35">
        <f t="shared" si="11"/>
        <v>0</v>
      </c>
      <c r="AD48" s="47">
        <v>35028</v>
      </c>
      <c r="AE48" s="48">
        <f t="shared" si="12"/>
        <v>-1148.4590163934427</v>
      </c>
    </row>
    <row r="49" spans="1:31" ht="18">
      <c r="A49" s="23" t="s">
        <v>24</v>
      </c>
      <c r="B49" s="49" t="s">
        <v>72</v>
      </c>
      <c r="C49" s="3">
        <v>2</v>
      </c>
      <c r="D49" s="25">
        <v>0</v>
      </c>
      <c r="E49" s="52" t="s">
        <v>25</v>
      </c>
      <c r="F49" s="30">
        <v>110</v>
      </c>
      <c r="G49" s="25">
        <v>0</v>
      </c>
      <c r="H49" s="53" t="s">
        <v>22</v>
      </c>
      <c r="I49" s="53">
        <f>IF(R49=1,AE49,IF(S49=1,AE49,IF(T49=1,AE49,"")))</f>
        <v>1183.9159644611887</v>
      </c>
      <c r="J49" s="26">
        <f t="shared" si="42"/>
        <v>29.99999999994775</v>
      </c>
      <c r="K49" s="27">
        <v>12.5</v>
      </c>
      <c r="L49" s="28">
        <f>J49/K49</f>
        <v>2.39999999999582</v>
      </c>
      <c r="M49" s="29">
        <f>IF(R49=1,12,IF(S49=1,4,IF(T49=1,6,IF(U49=1,8,IF(V49=1,5,1)))))</f>
        <v>12</v>
      </c>
      <c r="N49" s="51">
        <f t="shared" si="43"/>
        <v>36109.43691606625</v>
      </c>
      <c r="O49" s="31">
        <f>N49+M49/24</f>
        <v>36109.93691606625</v>
      </c>
      <c r="P49" s="46">
        <f t="shared" si="44"/>
        <v>398.8859855931468</v>
      </c>
      <c r="Q49" s="46">
        <f t="shared" si="40"/>
        <v>16.62024939971445</v>
      </c>
      <c r="R49" s="2">
        <f>IF(A49="R",1,0)</f>
        <v>1</v>
      </c>
      <c r="S49" s="2">
        <f>IF(A49="V",1,0)</f>
        <v>0</v>
      </c>
      <c r="T49" s="2">
        <f t="shared" si="36"/>
        <v>0</v>
      </c>
      <c r="U49" s="2">
        <f t="shared" si="37"/>
        <v>0</v>
      </c>
      <c r="V49" s="2">
        <f t="shared" si="41"/>
        <v>0</v>
      </c>
      <c r="W49" s="33">
        <f>IF(E49="N",1,-1)</f>
        <v>-1</v>
      </c>
      <c r="X49" s="34">
        <f>IF(H49="W",1,-1)</f>
        <v>1</v>
      </c>
      <c r="Y49" s="2">
        <f>C49</f>
        <v>2</v>
      </c>
      <c r="Z49" s="2" t="str">
        <f t="shared" si="38"/>
        <v>S</v>
      </c>
      <c r="AA49" s="2">
        <f t="shared" si="39"/>
        <v>110</v>
      </c>
      <c r="AB49" s="2" t="str">
        <f>IF(R49=1,"R",IF(S49=1,"V",0))</f>
        <v>R</v>
      </c>
      <c r="AC49" s="35">
        <f t="shared" si="11"/>
        <v>36109.43691606625</v>
      </c>
      <c r="AD49" s="36"/>
      <c r="AE49" s="35">
        <f>(AC49-AD49)/30.5</f>
        <v>1183.9159644611887</v>
      </c>
    </row>
    <row r="50" spans="1:31" ht="18">
      <c r="A50" s="23"/>
      <c r="B50" s="49" t="s">
        <v>23</v>
      </c>
      <c r="C50" s="3">
        <v>1</v>
      </c>
      <c r="D50" s="25">
        <v>30</v>
      </c>
      <c r="E50" s="52" t="s">
        <v>25</v>
      </c>
      <c r="F50" s="30">
        <v>110</v>
      </c>
      <c r="G50" s="25">
        <v>0</v>
      </c>
      <c r="H50" s="53" t="s">
        <v>22</v>
      </c>
      <c r="I50" s="53">
        <f t="shared" si="0"/>
      </c>
      <c r="J50" s="26">
        <f t="shared" si="42"/>
        <v>29.99999999999126</v>
      </c>
      <c r="K50" s="27">
        <v>12.5</v>
      </c>
      <c r="L50" s="28">
        <f t="shared" si="22"/>
        <v>2.399999999999301</v>
      </c>
      <c r="M50" s="29">
        <f>IF(R50=1,12,IF(S50=1,4,IF(T50=1,6,IF(U50=1,8,IF(V50=1,5,1)))))</f>
        <v>1</v>
      </c>
      <c r="N50" s="51">
        <f t="shared" si="43"/>
        <v>36110.03691606625</v>
      </c>
      <c r="O50" s="31">
        <f t="shared" si="24"/>
        <v>36110.07858273292</v>
      </c>
      <c r="P50" s="46">
        <f t="shared" si="44"/>
        <v>402.2859855931461</v>
      </c>
      <c r="Q50" s="46">
        <f t="shared" si="40"/>
        <v>16.761916066381087</v>
      </c>
      <c r="R50" s="2">
        <f t="shared" si="1"/>
        <v>0</v>
      </c>
      <c r="S50" s="2">
        <f t="shared" si="2"/>
        <v>0</v>
      </c>
      <c r="T50" s="2">
        <f t="shared" si="36"/>
        <v>0</v>
      </c>
      <c r="U50" s="2">
        <f aca="true" t="shared" si="46" ref="U50:U61">IF(A50="S",1,0)</f>
        <v>0</v>
      </c>
      <c r="V50" s="2">
        <f t="shared" si="41"/>
        <v>0</v>
      </c>
      <c r="W50" s="33">
        <f t="shared" si="6"/>
        <v>-1</v>
      </c>
      <c r="X50" s="34">
        <f t="shared" si="7"/>
        <v>1</v>
      </c>
      <c r="Y50" s="2">
        <f t="shared" si="8"/>
        <v>1</v>
      </c>
      <c r="Z50" s="2" t="str">
        <f t="shared" si="38"/>
        <v>S</v>
      </c>
      <c r="AA50" s="2">
        <f t="shared" si="39"/>
        <v>110</v>
      </c>
      <c r="AB50" s="2">
        <f t="shared" si="10"/>
        <v>0</v>
      </c>
      <c r="AC50" s="35">
        <f t="shared" si="11"/>
        <v>0</v>
      </c>
      <c r="AD50" s="36"/>
      <c r="AE50" s="35">
        <f t="shared" si="12"/>
        <v>0</v>
      </c>
    </row>
    <row r="51" spans="1:31" ht="18">
      <c r="A51" s="23"/>
      <c r="B51" s="49" t="s">
        <v>23</v>
      </c>
      <c r="C51" s="3">
        <v>1</v>
      </c>
      <c r="D51" s="25">
        <v>0</v>
      </c>
      <c r="E51" s="52" t="s">
        <v>25</v>
      </c>
      <c r="F51" s="30">
        <v>110</v>
      </c>
      <c r="G51" s="25">
        <v>0</v>
      </c>
      <c r="H51" s="53" t="s">
        <v>22</v>
      </c>
      <c r="I51" s="53">
        <f>IF(R51=1,AE51,IF(S51=1,AE51,IF(T51=1,AE51,"")))</f>
      </c>
      <c r="J51" s="26">
        <f t="shared" si="42"/>
        <v>29.99999999999126</v>
      </c>
      <c r="K51" s="27">
        <v>12.5</v>
      </c>
      <c r="L51" s="28">
        <f>J51/K51</f>
        <v>2.399999999999301</v>
      </c>
      <c r="M51" s="29">
        <f t="shared" si="45"/>
        <v>1</v>
      </c>
      <c r="N51" s="51">
        <f t="shared" si="43"/>
        <v>36110.178582732915</v>
      </c>
      <c r="O51" s="31">
        <f>N51+M51/24</f>
        <v>36110.22024939958</v>
      </c>
      <c r="P51" s="46">
        <f t="shared" si="44"/>
        <v>405.6859855931454</v>
      </c>
      <c r="Q51" s="46">
        <f t="shared" si="40"/>
        <v>16.903582733047724</v>
      </c>
      <c r="R51" s="2">
        <f>IF(A51="R",1,0)</f>
        <v>0</v>
      </c>
      <c r="S51" s="2">
        <f>IF(A51="V",1,0)</f>
        <v>0</v>
      </c>
      <c r="T51" s="2">
        <f t="shared" si="36"/>
        <v>0</v>
      </c>
      <c r="U51" s="2">
        <f t="shared" si="46"/>
        <v>0</v>
      </c>
      <c r="V51" s="2">
        <f t="shared" si="41"/>
        <v>0</v>
      </c>
      <c r="W51" s="33">
        <f>IF(E51="N",1,-1)</f>
        <v>-1</v>
      </c>
      <c r="X51" s="34">
        <f>IF(H51="W",1,-1)</f>
        <v>1</v>
      </c>
      <c r="Y51" s="2">
        <f>C51</f>
        <v>1</v>
      </c>
      <c r="Z51" s="2" t="str">
        <f t="shared" si="38"/>
        <v>S</v>
      </c>
      <c r="AA51" s="2">
        <f t="shared" si="39"/>
        <v>110</v>
      </c>
      <c r="AB51" s="2">
        <f>IF(R51=1,"R",IF(S51=1,"V",0))</f>
        <v>0</v>
      </c>
      <c r="AC51" s="35">
        <f t="shared" si="11"/>
        <v>0</v>
      </c>
      <c r="AD51" s="36"/>
      <c r="AE51" s="35">
        <f>(AC51-AD51)/30.5</f>
        <v>0</v>
      </c>
    </row>
    <row r="52" spans="1:31" ht="18">
      <c r="A52" s="37"/>
      <c r="B52" s="38" t="s">
        <v>23</v>
      </c>
      <c r="C52" s="39">
        <v>0</v>
      </c>
      <c r="D52" s="40">
        <v>30</v>
      </c>
      <c r="E52" s="115" t="s">
        <v>25</v>
      </c>
      <c r="F52" s="30">
        <v>110</v>
      </c>
      <c r="G52" s="40">
        <v>0</v>
      </c>
      <c r="H52" s="50" t="s">
        <v>22</v>
      </c>
      <c r="I52" s="116">
        <f t="shared" si="0"/>
      </c>
      <c r="J52" s="42">
        <f t="shared" si="42"/>
        <v>29.99999999999126</v>
      </c>
      <c r="K52" s="27">
        <v>12.5</v>
      </c>
      <c r="L52" s="43">
        <f t="shared" si="22"/>
        <v>2.399999999999301</v>
      </c>
      <c r="M52" s="29">
        <f>IF(R52=1,12,IF(S52=1,4,IF(T52=1,6,IF(U52=1,8,IF(V52=1,5,1)))))</f>
        <v>1</v>
      </c>
      <c r="N52" s="44">
        <f t="shared" si="43"/>
        <v>36110.32024939958</v>
      </c>
      <c r="O52" s="45">
        <f>N52+M52/24</f>
        <v>36110.36191606624</v>
      </c>
      <c r="P52" s="46">
        <f t="shared" si="44"/>
        <v>409.0859855931447</v>
      </c>
      <c r="Q52" s="46">
        <f t="shared" si="40"/>
        <v>17.04524939971436</v>
      </c>
      <c r="R52" s="68">
        <f t="shared" si="1"/>
        <v>0</v>
      </c>
      <c r="S52" s="2">
        <f t="shared" si="2"/>
        <v>0</v>
      </c>
      <c r="T52" s="2">
        <f t="shared" si="36"/>
        <v>0</v>
      </c>
      <c r="U52" s="2">
        <f t="shared" si="46"/>
        <v>0</v>
      </c>
      <c r="V52" s="2">
        <f t="shared" si="41"/>
        <v>0</v>
      </c>
      <c r="W52" s="33">
        <f t="shared" si="6"/>
        <v>-1</v>
      </c>
      <c r="X52" s="34">
        <f t="shared" si="7"/>
        <v>1</v>
      </c>
      <c r="Y52" s="2">
        <f t="shared" si="8"/>
        <v>0</v>
      </c>
      <c r="Z52" s="2" t="str">
        <f t="shared" si="38"/>
        <v>S</v>
      </c>
      <c r="AA52" s="2">
        <f t="shared" si="39"/>
        <v>110</v>
      </c>
      <c r="AB52" s="2">
        <f t="shared" si="10"/>
        <v>0</v>
      </c>
      <c r="AC52" s="35">
        <f t="shared" si="11"/>
        <v>0</v>
      </c>
      <c r="AD52" s="47">
        <v>35029</v>
      </c>
      <c r="AE52" s="48">
        <f t="shared" si="12"/>
        <v>-1148.4918032786886</v>
      </c>
    </row>
    <row r="53" spans="1:31" ht="18">
      <c r="A53" s="23" t="s">
        <v>24</v>
      </c>
      <c r="B53" s="49" t="s">
        <v>75</v>
      </c>
      <c r="C53" s="3">
        <v>0</v>
      </c>
      <c r="D53" s="25">
        <v>0</v>
      </c>
      <c r="E53" s="52"/>
      <c r="F53" s="30">
        <v>110</v>
      </c>
      <c r="G53" s="25">
        <v>0</v>
      </c>
      <c r="H53" s="53" t="s">
        <v>22</v>
      </c>
      <c r="I53" s="53">
        <f>IF(R53=1,AE53,IF(S53=1,AE53,IF(T53=1,AE53,"")))</f>
        <v>1183.9495710185652</v>
      </c>
      <c r="J53" s="26">
        <f t="shared" si="42"/>
        <v>29.99999999999126</v>
      </c>
      <c r="K53" s="27">
        <v>12.5</v>
      </c>
      <c r="L53" s="28">
        <f>J53/K53</f>
        <v>2.399999999999301</v>
      </c>
      <c r="M53" s="29">
        <f>IF(R53=1,12,IF(S53=1,4,IF(T53=1,6,IF(U53=1,8,IF(V53=1,5,1)))))+18</f>
        <v>30</v>
      </c>
      <c r="N53" s="51">
        <f t="shared" si="43"/>
        <v>36110.46191606624</v>
      </c>
      <c r="O53" s="31">
        <f>N53+M53/24</f>
        <v>36111.71191606624</v>
      </c>
      <c r="P53" s="46">
        <f t="shared" si="44"/>
        <v>441.485985593144</v>
      </c>
      <c r="Q53" s="46">
        <f t="shared" si="40"/>
        <v>18.395249399714334</v>
      </c>
      <c r="R53" s="2">
        <f>IF(A53="R",1,0)</f>
        <v>1</v>
      </c>
      <c r="S53" s="2">
        <f>IF(A53="V",1,0)</f>
        <v>0</v>
      </c>
      <c r="T53" s="2">
        <f t="shared" si="36"/>
        <v>0</v>
      </c>
      <c r="U53" s="2">
        <f t="shared" si="46"/>
        <v>0</v>
      </c>
      <c r="V53" s="2">
        <f t="shared" si="41"/>
        <v>0</v>
      </c>
      <c r="W53" s="33">
        <f>IF(E53="N",1,-1)</f>
        <v>-1</v>
      </c>
      <c r="X53" s="34">
        <f>IF(H53="W",1,-1)</f>
        <v>1</v>
      </c>
      <c r="Y53" s="2">
        <f>C53</f>
        <v>0</v>
      </c>
      <c r="Z53" s="2">
        <f t="shared" si="38"/>
        <v>0</v>
      </c>
      <c r="AA53" s="2">
        <f t="shared" si="39"/>
        <v>110</v>
      </c>
      <c r="AB53" s="2" t="str">
        <f>IF(R53=1,"R",IF(S53=1,"V",0))</f>
        <v>R</v>
      </c>
      <c r="AC53" s="35">
        <f t="shared" si="11"/>
        <v>36110.46191606624</v>
      </c>
      <c r="AD53" s="36"/>
      <c r="AE53" s="35">
        <f>(AC53-AD53)/30.5</f>
        <v>1183.9495710185652</v>
      </c>
    </row>
    <row r="54" spans="1:31" ht="18">
      <c r="A54" s="37"/>
      <c r="B54" s="38" t="s">
        <v>23</v>
      </c>
      <c r="C54" s="3">
        <v>0</v>
      </c>
      <c r="D54" s="25">
        <v>30</v>
      </c>
      <c r="E54" s="52" t="s">
        <v>21</v>
      </c>
      <c r="F54" s="30">
        <v>110</v>
      </c>
      <c r="G54" s="25">
        <v>0</v>
      </c>
      <c r="H54" s="53" t="s">
        <v>22</v>
      </c>
      <c r="I54" s="53">
        <f t="shared" si="0"/>
      </c>
      <c r="J54" s="26">
        <f t="shared" si="42"/>
        <v>29.99999999999126</v>
      </c>
      <c r="K54" s="27">
        <v>12.5</v>
      </c>
      <c r="L54" s="28">
        <f t="shared" si="22"/>
        <v>2.399999999999301</v>
      </c>
      <c r="M54" s="29">
        <f aca="true" t="shared" si="47" ref="M54:M60">IF(R54=1,12,IF(S54=1,4,IF(T54=1,6,IF(U54=1,8,IF(V54=1,5,1)))))</f>
        <v>1</v>
      </c>
      <c r="N54" s="51">
        <f t="shared" si="43"/>
        <v>36111.81191606624</v>
      </c>
      <c r="O54" s="31">
        <f t="shared" si="24"/>
        <v>36111.8535827329</v>
      </c>
      <c r="P54" s="46">
        <f t="shared" si="44"/>
        <v>444.8859855931433</v>
      </c>
      <c r="Q54" s="46">
        <f t="shared" si="40"/>
        <v>18.53691606638097</v>
      </c>
      <c r="R54" s="2">
        <f t="shared" si="1"/>
        <v>0</v>
      </c>
      <c r="S54" s="2">
        <f t="shared" si="2"/>
        <v>0</v>
      </c>
      <c r="T54" s="68">
        <f t="shared" si="36"/>
        <v>0</v>
      </c>
      <c r="U54" s="2">
        <f t="shared" si="46"/>
        <v>0</v>
      </c>
      <c r="V54" s="2">
        <f t="shared" si="41"/>
        <v>0</v>
      </c>
      <c r="W54" s="33">
        <f t="shared" si="6"/>
        <v>1</v>
      </c>
      <c r="X54" s="34">
        <f t="shared" si="7"/>
        <v>1</v>
      </c>
      <c r="Y54" s="2">
        <f t="shared" si="8"/>
        <v>0</v>
      </c>
      <c r="Z54" s="2" t="str">
        <f aca="true" t="shared" si="48" ref="Z54:AA57">E54</f>
        <v>N</v>
      </c>
      <c r="AA54" s="2">
        <f t="shared" si="48"/>
        <v>110</v>
      </c>
      <c r="AB54" s="2">
        <f t="shared" si="10"/>
        <v>0</v>
      </c>
      <c r="AC54" s="35">
        <f t="shared" si="11"/>
        <v>0</v>
      </c>
      <c r="AD54" s="47">
        <v>35178</v>
      </c>
      <c r="AE54" s="48">
        <f t="shared" si="12"/>
        <v>-1153.377049180328</v>
      </c>
    </row>
    <row r="55" spans="1:31" ht="18">
      <c r="A55" s="23"/>
      <c r="B55" s="49" t="s">
        <v>23</v>
      </c>
      <c r="C55" s="3">
        <v>1</v>
      </c>
      <c r="D55" s="25">
        <v>0</v>
      </c>
      <c r="E55" s="52" t="s">
        <v>21</v>
      </c>
      <c r="F55" s="30">
        <v>110</v>
      </c>
      <c r="G55" s="25">
        <v>0</v>
      </c>
      <c r="H55" s="53" t="s">
        <v>22</v>
      </c>
      <c r="I55" s="53">
        <f t="shared" si="0"/>
      </c>
      <c r="J55" s="26">
        <f t="shared" si="42"/>
        <v>29.99999999999126</v>
      </c>
      <c r="K55" s="27">
        <v>12.5</v>
      </c>
      <c r="L55" s="28">
        <f t="shared" si="22"/>
        <v>2.399999999999301</v>
      </c>
      <c r="M55" s="29">
        <f t="shared" si="47"/>
        <v>1</v>
      </c>
      <c r="N55" s="51">
        <f t="shared" si="43"/>
        <v>36111.9535827329</v>
      </c>
      <c r="O55" s="31">
        <f t="shared" si="24"/>
        <v>36111.995249399566</v>
      </c>
      <c r="P55" s="46">
        <f t="shared" si="44"/>
        <v>448.2859855931426</v>
      </c>
      <c r="Q55" s="46">
        <f t="shared" si="40"/>
        <v>18.67858273304761</v>
      </c>
      <c r="R55" s="2">
        <f t="shared" si="1"/>
        <v>0</v>
      </c>
      <c r="S55" s="2">
        <f t="shared" si="2"/>
        <v>0</v>
      </c>
      <c r="T55" s="2">
        <f t="shared" si="36"/>
        <v>0</v>
      </c>
      <c r="U55" s="2">
        <f t="shared" si="46"/>
        <v>0</v>
      </c>
      <c r="V55" s="2">
        <f t="shared" si="41"/>
        <v>0</v>
      </c>
      <c r="W55" s="33">
        <f t="shared" si="6"/>
        <v>1</v>
      </c>
      <c r="X55" s="34">
        <f t="shared" si="7"/>
        <v>1</v>
      </c>
      <c r="Y55" s="2">
        <f t="shared" si="8"/>
        <v>1</v>
      </c>
      <c r="Z55" s="2" t="str">
        <f>E55</f>
        <v>N</v>
      </c>
      <c r="AA55" s="2">
        <f>F55</f>
        <v>110</v>
      </c>
      <c r="AB55" s="2">
        <f t="shared" si="10"/>
        <v>0</v>
      </c>
      <c r="AC55" s="35">
        <f t="shared" si="11"/>
        <v>0</v>
      </c>
      <c r="AD55" s="36"/>
      <c r="AE55" s="35">
        <f t="shared" si="12"/>
        <v>0</v>
      </c>
    </row>
    <row r="56" spans="1:31" ht="18">
      <c r="A56" s="23"/>
      <c r="B56" s="49" t="s">
        <v>23</v>
      </c>
      <c r="C56" s="3">
        <v>1</v>
      </c>
      <c r="D56" s="25">
        <v>30</v>
      </c>
      <c r="E56" s="52" t="s">
        <v>21</v>
      </c>
      <c r="F56" s="30">
        <v>110</v>
      </c>
      <c r="G56" s="40">
        <v>0</v>
      </c>
      <c r="H56" s="116" t="s">
        <v>22</v>
      </c>
      <c r="I56" s="53">
        <f t="shared" si="0"/>
      </c>
      <c r="J56" s="42">
        <f t="shared" si="42"/>
        <v>29.99999999999126</v>
      </c>
      <c r="K56" s="27">
        <v>12.5</v>
      </c>
      <c r="L56" s="43">
        <f t="shared" si="22"/>
        <v>2.399999999999301</v>
      </c>
      <c r="M56" s="29">
        <f t="shared" si="47"/>
        <v>1</v>
      </c>
      <c r="N56" s="51">
        <f t="shared" si="43"/>
        <v>36112.095249399565</v>
      </c>
      <c r="O56" s="45">
        <f t="shared" si="24"/>
        <v>36112.13691606623</v>
      </c>
      <c r="P56" s="46">
        <f t="shared" si="44"/>
        <v>451.6859855931419</v>
      </c>
      <c r="Q56" s="46">
        <f t="shared" si="40"/>
        <v>18.820249399714246</v>
      </c>
      <c r="R56" s="2">
        <f t="shared" si="1"/>
        <v>0</v>
      </c>
      <c r="S56" s="2">
        <f t="shared" si="2"/>
        <v>0</v>
      </c>
      <c r="T56" s="2">
        <f t="shared" si="36"/>
        <v>0</v>
      </c>
      <c r="U56" s="2">
        <f t="shared" si="46"/>
        <v>0</v>
      </c>
      <c r="V56" s="68">
        <f t="shared" si="41"/>
        <v>0</v>
      </c>
      <c r="W56" s="33">
        <f t="shared" si="6"/>
        <v>1</v>
      </c>
      <c r="X56" s="34">
        <f t="shared" si="7"/>
        <v>1</v>
      </c>
      <c r="Y56" s="2">
        <f t="shared" si="8"/>
        <v>1</v>
      </c>
      <c r="Z56" s="2" t="str">
        <f>E56</f>
        <v>N</v>
      </c>
      <c r="AA56" s="2">
        <f>F56</f>
        <v>110</v>
      </c>
      <c r="AB56" s="2">
        <f t="shared" si="10"/>
        <v>0</v>
      </c>
      <c r="AC56" s="35">
        <f t="shared" si="11"/>
        <v>0</v>
      </c>
      <c r="AD56" s="47">
        <v>35177</v>
      </c>
      <c r="AE56" s="48">
        <f t="shared" si="12"/>
        <v>-1153.344262295082</v>
      </c>
    </row>
    <row r="57" spans="1:31" ht="18">
      <c r="A57" s="23" t="s">
        <v>73</v>
      </c>
      <c r="B57" s="49" t="s">
        <v>74</v>
      </c>
      <c r="C57" s="3">
        <v>2</v>
      </c>
      <c r="D57" s="25">
        <v>0</v>
      </c>
      <c r="E57" s="52" t="s">
        <v>21</v>
      </c>
      <c r="F57" s="30">
        <v>110</v>
      </c>
      <c r="G57" s="25">
        <v>0</v>
      </c>
      <c r="H57" s="53" t="s">
        <v>22</v>
      </c>
      <c r="I57" s="53">
        <f>IF(R57=1,AE57,IF(S57=1,AE57,IF(T57=1,AE57,"")))</f>
        <v>30.663505444794342</v>
      </c>
      <c r="J57" s="26">
        <f t="shared" si="42"/>
        <v>29.99999999999126</v>
      </c>
      <c r="K57" s="27">
        <v>12.5</v>
      </c>
      <c r="L57" s="28">
        <f t="shared" si="22"/>
        <v>2.399999999999301</v>
      </c>
      <c r="M57" s="29">
        <f t="shared" si="47"/>
        <v>4</v>
      </c>
      <c r="N57" s="51">
        <f t="shared" si="43"/>
        <v>36112.23691606623</v>
      </c>
      <c r="O57" s="31">
        <f t="shared" si="24"/>
        <v>36112.40358273289</v>
      </c>
      <c r="P57" s="46">
        <f t="shared" si="44"/>
        <v>458.0859855931412</v>
      </c>
      <c r="Q57" s="46">
        <f t="shared" si="40"/>
        <v>19.086916066380883</v>
      </c>
      <c r="R57" s="68">
        <f t="shared" si="1"/>
        <v>0</v>
      </c>
      <c r="S57" s="2">
        <f t="shared" si="2"/>
        <v>1</v>
      </c>
      <c r="T57" s="2">
        <f t="shared" si="36"/>
        <v>0</v>
      </c>
      <c r="U57" s="2">
        <f t="shared" si="46"/>
        <v>0</v>
      </c>
      <c r="V57" s="2">
        <f t="shared" si="41"/>
        <v>0</v>
      </c>
      <c r="W57" s="33">
        <f t="shared" si="6"/>
        <v>1</v>
      </c>
      <c r="X57" s="34">
        <f t="shared" si="7"/>
        <v>1</v>
      </c>
      <c r="Y57" s="2">
        <f t="shared" si="8"/>
        <v>2</v>
      </c>
      <c r="Z57" s="2" t="str">
        <f t="shared" si="48"/>
        <v>N</v>
      </c>
      <c r="AA57" s="2">
        <f t="shared" si="48"/>
        <v>110</v>
      </c>
      <c r="AB57" s="2" t="str">
        <f t="shared" si="10"/>
        <v>V</v>
      </c>
      <c r="AC57" s="35">
        <f>IF(R57=1,N57,IF(S57=1,N57,IF(T57=1,N57,IF(U57=1,N57,IF(V57=1,N57,0)))))</f>
        <v>36112.23691606623</v>
      </c>
      <c r="AD57" s="47">
        <v>35177</v>
      </c>
      <c r="AE57" s="35">
        <f>(AC57-AD57)/30.5</f>
        <v>30.663505444794342</v>
      </c>
    </row>
    <row r="58" spans="1:32" ht="18">
      <c r="A58" s="23"/>
      <c r="B58" s="49" t="s">
        <v>23</v>
      </c>
      <c r="C58" s="3">
        <v>2</v>
      </c>
      <c r="D58" s="25">
        <v>30</v>
      </c>
      <c r="E58" s="52" t="s">
        <v>21</v>
      </c>
      <c r="F58" s="30">
        <v>110</v>
      </c>
      <c r="G58" s="25">
        <v>0</v>
      </c>
      <c r="H58" s="53" t="s">
        <v>22</v>
      </c>
      <c r="I58" s="53">
        <f t="shared" si="0"/>
      </c>
      <c r="J58" s="26">
        <f t="shared" si="42"/>
        <v>29.99999999994775</v>
      </c>
      <c r="K58" s="27">
        <v>12.5</v>
      </c>
      <c r="L58" s="28">
        <f t="shared" si="22"/>
        <v>2.39999999999582</v>
      </c>
      <c r="M58" s="29">
        <f t="shared" si="47"/>
        <v>1</v>
      </c>
      <c r="N58" s="51">
        <f t="shared" si="43"/>
        <v>36112.50358273289</v>
      </c>
      <c r="O58" s="31">
        <f t="shared" si="24"/>
        <v>36112.545249399554</v>
      </c>
      <c r="P58" s="46">
        <f t="shared" si="44"/>
        <v>461.485985593137</v>
      </c>
      <c r="Q58" s="46">
        <f t="shared" si="40"/>
        <v>19.228582733047375</v>
      </c>
      <c r="R58" s="2">
        <f t="shared" si="1"/>
        <v>0</v>
      </c>
      <c r="S58" s="2">
        <f t="shared" si="2"/>
        <v>0</v>
      </c>
      <c r="T58" s="2">
        <f t="shared" si="36"/>
        <v>0</v>
      </c>
      <c r="U58" s="2">
        <f t="shared" si="46"/>
        <v>0</v>
      </c>
      <c r="V58" s="2">
        <f t="shared" si="41"/>
        <v>0</v>
      </c>
      <c r="W58" s="33">
        <f t="shared" si="6"/>
        <v>1</v>
      </c>
      <c r="X58" s="34">
        <f t="shared" si="7"/>
        <v>1</v>
      </c>
      <c r="Y58" s="2">
        <f t="shared" si="8"/>
        <v>2</v>
      </c>
      <c r="Z58" s="2" t="str">
        <f aca="true" t="shared" si="49" ref="Z58:AA61">E58</f>
        <v>N</v>
      </c>
      <c r="AA58" s="2">
        <f t="shared" si="49"/>
        <v>110</v>
      </c>
      <c r="AB58" s="2">
        <f t="shared" si="10"/>
        <v>0</v>
      </c>
      <c r="AC58" s="35">
        <f t="shared" si="11"/>
        <v>0</v>
      </c>
      <c r="AD58" s="36"/>
      <c r="AE58" s="35">
        <f t="shared" si="12"/>
        <v>0</v>
      </c>
      <c r="AF58" s="68"/>
    </row>
    <row r="59" spans="1:31" ht="18">
      <c r="A59" s="37"/>
      <c r="B59" s="38" t="s">
        <v>23</v>
      </c>
      <c r="C59" s="39">
        <v>3</v>
      </c>
      <c r="D59" s="40">
        <v>0</v>
      </c>
      <c r="E59" s="115" t="s">
        <v>21</v>
      </c>
      <c r="F59" s="30">
        <v>110</v>
      </c>
      <c r="G59" s="40">
        <v>0</v>
      </c>
      <c r="H59" s="117" t="s">
        <v>22</v>
      </c>
      <c r="I59" s="53">
        <f t="shared" si="0"/>
      </c>
      <c r="J59" s="26">
        <f aca="true" t="shared" si="50" ref="J59:J64">180/PI()*60*ACOS((SIN(PI()/180*W58*(C58+D58/60))*SIN(PI()/180*W59*(C59+D59/60)))+(COS(PI()/180*W58*(C58+D58/60))*COS(PI()/180*W59*(C59+D59/60))*COS(PI()/180*(X59*(F59+G59/60)-X58*(F58+G58/60)))))</f>
        <v>29.99999999999126</v>
      </c>
      <c r="K59" s="27">
        <v>12.5</v>
      </c>
      <c r="L59" s="28">
        <f t="shared" si="22"/>
        <v>2.399999999999301</v>
      </c>
      <c r="M59" s="29">
        <f t="shared" si="47"/>
        <v>1</v>
      </c>
      <c r="N59" s="51">
        <f t="shared" si="43"/>
        <v>36112.64524939955</v>
      </c>
      <c r="O59" s="31">
        <f t="shared" si="24"/>
        <v>36112.68691606622</v>
      </c>
      <c r="P59" s="46">
        <f t="shared" si="44"/>
        <v>464.8859855931363</v>
      </c>
      <c r="Q59" s="46">
        <f t="shared" si="40"/>
        <v>19.370249399714012</v>
      </c>
      <c r="R59" s="68">
        <f t="shared" si="1"/>
        <v>0</v>
      </c>
      <c r="S59" s="2">
        <f t="shared" si="2"/>
        <v>0</v>
      </c>
      <c r="T59" s="2">
        <f t="shared" si="36"/>
        <v>0</v>
      </c>
      <c r="U59" s="2">
        <f t="shared" si="46"/>
        <v>0</v>
      </c>
      <c r="V59" s="2">
        <f t="shared" si="41"/>
        <v>0</v>
      </c>
      <c r="W59" s="33">
        <f t="shared" si="6"/>
        <v>1</v>
      </c>
      <c r="X59" s="34">
        <f t="shared" si="7"/>
        <v>1</v>
      </c>
      <c r="Y59" s="2">
        <f t="shared" si="8"/>
        <v>3</v>
      </c>
      <c r="Z59" s="2" t="str">
        <f t="shared" si="49"/>
        <v>N</v>
      </c>
      <c r="AA59" s="2">
        <f t="shared" si="49"/>
        <v>110</v>
      </c>
      <c r="AB59" s="2">
        <f t="shared" si="10"/>
        <v>0</v>
      </c>
      <c r="AC59" s="35">
        <f t="shared" si="11"/>
        <v>0</v>
      </c>
      <c r="AD59" s="47">
        <v>35032</v>
      </c>
      <c r="AE59" s="48">
        <f t="shared" si="12"/>
        <v>-1148.5901639344263</v>
      </c>
    </row>
    <row r="60" spans="1:31" ht="18">
      <c r="A60" s="23"/>
      <c r="B60" s="24" t="s">
        <v>23</v>
      </c>
      <c r="C60" s="3">
        <v>4</v>
      </c>
      <c r="D60" s="25">
        <v>0</v>
      </c>
      <c r="E60" s="53" t="s">
        <v>21</v>
      </c>
      <c r="F60" s="3">
        <v>110</v>
      </c>
      <c r="G60" s="25">
        <v>0</v>
      </c>
      <c r="H60" s="53" t="s">
        <v>22</v>
      </c>
      <c r="I60" s="53">
        <f aca="true" t="shared" si="51" ref="I60:I67">IF(R60=1,AE60,IF(S60=1,AE60,IF(T60=1,AE60,"")))</f>
      </c>
      <c r="J60" s="26">
        <f t="shared" si="50"/>
        <v>60.00000000001535</v>
      </c>
      <c r="K60" s="27">
        <v>12.5</v>
      </c>
      <c r="L60" s="28">
        <f aca="true" t="shared" si="52" ref="L60:L67">J60/K60</f>
        <v>4.800000000001228</v>
      </c>
      <c r="M60" s="29">
        <f t="shared" si="47"/>
        <v>1</v>
      </c>
      <c r="N60" s="51">
        <f t="shared" si="43"/>
        <v>36112.886916066214</v>
      </c>
      <c r="O60" s="31">
        <f aca="true" t="shared" si="53" ref="O60:O67">N60+M60/24</f>
        <v>36112.92858273288</v>
      </c>
      <c r="P60" s="46">
        <f t="shared" si="44"/>
        <v>470.6859855931375</v>
      </c>
      <c r="Q60" s="46">
        <f t="shared" si="40"/>
        <v>19.61191606638073</v>
      </c>
      <c r="R60" s="2">
        <f aca="true" t="shared" si="54" ref="R60:R67">IF(A60="R",1,0)</f>
        <v>0</v>
      </c>
      <c r="S60" s="2">
        <f aca="true" t="shared" si="55" ref="S60:S67">IF(A60="V",1,0)</f>
        <v>0</v>
      </c>
      <c r="T60" s="2">
        <f aca="true" t="shared" si="56" ref="T60:T67">IF(A60="R E",1,0)</f>
        <v>0</v>
      </c>
      <c r="U60" s="2">
        <f t="shared" si="46"/>
        <v>0</v>
      </c>
      <c r="V60" s="2">
        <f t="shared" si="41"/>
        <v>0</v>
      </c>
      <c r="W60" s="33">
        <f aca="true" t="shared" si="57" ref="W60:W67">IF(E60="N",1,-1)</f>
        <v>1</v>
      </c>
      <c r="X60" s="34">
        <f aca="true" t="shared" si="58" ref="X60:X67">IF(H60="W",1,-1)</f>
        <v>1</v>
      </c>
      <c r="Y60" s="2">
        <f aca="true" t="shared" si="59" ref="Y60:Y67">C60</f>
        <v>4</v>
      </c>
      <c r="Z60" s="2" t="str">
        <f t="shared" si="49"/>
        <v>N</v>
      </c>
      <c r="AA60" s="2">
        <f t="shared" si="49"/>
        <v>110</v>
      </c>
      <c r="AB60" s="2">
        <f aca="true" t="shared" si="60" ref="AB60:AB67">IF(R60=1,"R",IF(S60=1,"V",0))</f>
        <v>0</v>
      </c>
      <c r="AC60" s="35">
        <f aca="true" t="shared" si="61" ref="AC60:AC67">IF(R60=1,N60,IF(S60=1,N60,IF(T60=1,N60,IF(U60=1,N60,IF(V60=1,N60,0)))))</f>
        <v>0</v>
      </c>
      <c r="AD60" s="36"/>
      <c r="AE60" s="35">
        <f>(AC60-AD60)/30.5</f>
        <v>0</v>
      </c>
    </row>
    <row r="61" spans="1:31" ht="18">
      <c r="A61" s="37" t="s">
        <v>24</v>
      </c>
      <c r="B61" s="38" t="s">
        <v>76</v>
      </c>
      <c r="C61" s="3">
        <v>5</v>
      </c>
      <c r="D61" s="25">
        <v>0</v>
      </c>
      <c r="E61" s="53" t="s">
        <v>21</v>
      </c>
      <c r="F61" s="3">
        <v>110</v>
      </c>
      <c r="G61" s="25">
        <v>0</v>
      </c>
      <c r="H61" s="53" t="s">
        <v>22</v>
      </c>
      <c r="I61" s="53">
        <f t="shared" si="51"/>
        <v>35.41405189288117</v>
      </c>
      <c r="J61" s="26">
        <f t="shared" si="50"/>
        <v>60.00000000001535</v>
      </c>
      <c r="K61" s="27">
        <v>12.5</v>
      </c>
      <c r="L61" s="28">
        <f t="shared" si="52"/>
        <v>4.800000000001228</v>
      </c>
      <c r="M61" s="29">
        <f>IF(R61=1,12,IF(S61=1,4,IF(T61=1,6,IF(U61=1,8,IF(V61=1,5,1)))))+2</f>
        <v>14</v>
      </c>
      <c r="N61" s="51">
        <f t="shared" si="43"/>
        <v>36113.128582732876</v>
      </c>
      <c r="O61" s="31">
        <f t="shared" si="53"/>
        <v>36113.71191606621</v>
      </c>
      <c r="P61" s="46">
        <f t="shared" si="44"/>
        <v>489.4859855931387</v>
      </c>
      <c r="Q61" s="46">
        <f t="shared" si="40"/>
        <v>20.395249399714114</v>
      </c>
      <c r="R61" s="68">
        <f t="shared" si="54"/>
        <v>1</v>
      </c>
      <c r="S61" s="2">
        <f t="shared" si="55"/>
        <v>0</v>
      </c>
      <c r="T61" s="2">
        <f t="shared" si="56"/>
        <v>0</v>
      </c>
      <c r="U61" s="2">
        <f t="shared" si="46"/>
        <v>0</v>
      </c>
      <c r="V61" s="2">
        <f t="shared" si="41"/>
        <v>0</v>
      </c>
      <c r="W61" s="33">
        <f t="shared" si="57"/>
        <v>1</v>
      </c>
      <c r="X61" s="34">
        <f t="shared" si="58"/>
        <v>1</v>
      </c>
      <c r="Y61" s="2">
        <f t="shared" si="59"/>
        <v>5</v>
      </c>
      <c r="Z61" s="2" t="str">
        <f t="shared" si="49"/>
        <v>N</v>
      </c>
      <c r="AA61" s="2">
        <f t="shared" si="49"/>
        <v>110</v>
      </c>
      <c r="AB61" s="2" t="str">
        <f t="shared" si="60"/>
        <v>R</v>
      </c>
      <c r="AC61" s="35">
        <f t="shared" si="61"/>
        <v>36113.128582732876</v>
      </c>
      <c r="AD61" s="47">
        <v>35033</v>
      </c>
      <c r="AE61" s="48">
        <f t="shared" si="12"/>
        <v>35.41405189288117</v>
      </c>
    </row>
    <row r="62" spans="1:31" ht="18">
      <c r="A62" s="23"/>
      <c r="B62" s="24" t="s">
        <v>23</v>
      </c>
      <c r="C62" s="3">
        <v>6</v>
      </c>
      <c r="D62" s="25">
        <v>0</v>
      </c>
      <c r="E62" s="109" t="s">
        <v>21</v>
      </c>
      <c r="F62" s="3">
        <v>110</v>
      </c>
      <c r="G62" s="25">
        <v>0</v>
      </c>
      <c r="H62" s="53" t="s">
        <v>22</v>
      </c>
      <c r="I62" s="53">
        <f t="shared" si="51"/>
      </c>
      <c r="J62" s="26">
        <f t="shared" si="50"/>
        <v>60.00000000001535</v>
      </c>
      <c r="K62" s="27">
        <v>12.5</v>
      </c>
      <c r="L62" s="28">
        <f t="shared" si="52"/>
        <v>4.800000000001228</v>
      </c>
      <c r="M62" s="29">
        <f>IF(R62=1,12,IF(S62=1,4,IF(T62=1,6,IF(U62=1,8,IF(V62=1,5,1)))))</f>
        <v>1</v>
      </c>
      <c r="N62" s="51">
        <f t="shared" si="43"/>
        <v>36113.91191606621</v>
      </c>
      <c r="O62" s="31">
        <f t="shared" si="53"/>
        <v>36113.95358273287</v>
      </c>
      <c r="P62" s="46">
        <f t="shared" si="44"/>
        <v>495.2859855931399</v>
      </c>
      <c r="Q62" s="46">
        <f t="shared" si="40"/>
        <v>20.63691606638083</v>
      </c>
      <c r="R62" s="2">
        <f t="shared" si="54"/>
        <v>0</v>
      </c>
      <c r="S62" s="2">
        <f t="shared" si="55"/>
        <v>0</v>
      </c>
      <c r="T62" s="2">
        <f t="shared" si="56"/>
        <v>0</v>
      </c>
      <c r="U62" s="2">
        <f aca="true" t="shared" si="62" ref="U62:U67">IF(A62="S",1,0)</f>
        <v>0</v>
      </c>
      <c r="V62" s="2">
        <f aca="true" t="shared" si="63" ref="V62:V67">IF(A62="D",1,0)</f>
        <v>0</v>
      </c>
      <c r="W62" s="33">
        <f t="shared" si="57"/>
        <v>1</v>
      </c>
      <c r="X62" s="34">
        <f t="shared" si="58"/>
        <v>1</v>
      </c>
      <c r="Y62" s="2">
        <f t="shared" si="59"/>
        <v>6</v>
      </c>
      <c r="Z62" s="2" t="str">
        <f aca="true" t="shared" si="64" ref="Z62:AA67">E62</f>
        <v>N</v>
      </c>
      <c r="AA62" s="2">
        <f t="shared" si="64"/>
        <v>110</v>
      </c>
      <c r="AB62" s="2">
        <f t="shared" si="60"/>
        <v>0</v>
      </c>
      <c r="AC62" s="35">
        <f t="shared" si="61"/>
        <v>0</v>
      </c>
      <c r="AD62" s="36"/>
      <c r="AE62" s="35">
        <f aca="true" t="shared" si="65" ref="AE62:AE67">(AC62-AD62)/30.5</f>
        <v>0</v>
      </c>
    </row>
    <row r="63" spans="1:31" ht="18">
      <c r="A63" s="37"/>
      <c r="B63" s="38" t="s">
        <v>23</v>
      </c>
      <c r="C63" s="3">
        <v>7</v>
      </c>
      <c r="D63" s="25">
        <v>0</v>
      </c>
      <c r="E63" s="53" t="s">
        <v>21</v>
      </c>
      <c r="F63" s="3">
        <v>110</v>
      </c>
      <c r="G63" s="25">
        <v>0</v>
      </c>
      <c r="H63" s="53" t="s">
        <v>22</v>
      </c>
      <c r="I63" s="53">
        <f t="shared" si="51"/>
      </c>
      <c r="J63" s="26">
        <f t="shared" si="50"/>
        <v>60.00000000003748</v>
      </c>
      <c r="K63" s="27">
        <v>12.5</v>
      </c>
      <c r="L63" s="43">
        <f t="shared" si="52"/>
        <v>4.800000000002998</v>
      </c>
      <c r="M63" s="29">
        <f>IF(R63=1,12,IF(S63=1,4,IF(T63=1,6,IF(U63=1,8,IF(V63=1,5,1)))))</f>
        <v>1</v>
      </c>
      <c r="N63" s="51">
        <f t="shared" si="43"/>
        <v>36114.15358273287</v>
      </c>
      <c r="O63" s="45">
        <f t="shared" si="53"/>
        <v>36114.195249399534</v>
      </c>
      <c r="P63" s="46">
        <f t="shared" si="44"/>
        <v>501.08598559314294</v>
      </c>
      <c r="Q63" s="46">
        <f t="shared" si="40"/>
        <v>20.878582733047622</v>
      </c>
      <c r="R63" s="2">
        <f t="shared" si="54"/>
        <v>0</v>
      </c>
      <c r="S63" s="2">
        <f t="shared" si="55"/>
        <v>0</v>
      </c>
      <c r="T63" s="68">
        <f t="shared" si="56"/>
        <v>0</v>
      </c>
      <c r="U63" s="2">
        <f t="shared" si="62"/>
        <v>0</v>
      </c>
      <c r="V63" s="68">
        <f t="shared" si="63"/>
        <v>0</v>
      </c>
      <c r="W63" s="33">
        <f t="shared" si="57"/>
        <v>1</v>
      </c>
      <c r="X63" s="34">
        <f t="shared" si="58"/>
        <v>1</v>
      </c>
      <c r="Y63" s="2">
        <f t="shared" si="59"/>
        <v>7</v>
      </c>
      <c r="Z63" s="2" t="str">
        <f t="shared" si="64"/>
        <v>N</v>
      </c>
      <c r="AA63" s="2">
        <f t="shared" si="64"/>
        <v>110</v>
      </c>
      <c r="AB63" s="2">
        <f t="shared" si="60"/>
        <v>0</v>
      </c>
      <c r="AC63" s="35">
        <f t="shared" si="61"/>
        <v>0</v>
      </c>
      <c r="AD63" s="47">
        <v>35174</v>
      </c>
      <c r="AE63" s="48">
        <f t="shared" si="65"/>
        <v>-1153.2459016393443</v>
      </c>
    </row>
    <row r="64" spans="1:31" ht="18">
      <c r="A64" s="37" t="s">
        <v>49</v>
      </c>
      <c r="B64" s="38" t="s">
        <v>77</v>
      </c>
      <c r="C64" s="3">
        <v>8</v>
      </c>
      <c r="D64" s="25">
        <v>0</v>
      </c>
      <c r="E64" s="109" t="s">
        <v>21</v>
      </c>
      <c r="F64" s="30">
        <v>110</v>
      </c>
      <c r="G64" s="25">
        <v>0</v>
      </c>
      <c r="H64" s="53" t="s">
        <v>22</v>
      </c>
      <c r="I64" s="53">
        <f t="shared" si="51"/>
        <v>30.83263112785348</v>
      </c>
      <c r="J64" s="26">
        <f t="shared" si="50"/>
        <v>60.00000000001535</v>
      </c>
      <c r="K64" s="27">
        <v>12.5</v>
      </c>
      <c r="L64" s="43">
        <f t="shared" si="52"/>
        <v>4.800000000001228</v>
      </c>
      <c r="M64" s="29">
        <f>IF(R64=1,12,IF(S64=1,4,IF(T64=1,6,IF(U64=1,8,IF(V64=1,5,1)))))</f>
        <v>6</v>
      </c>
      <c r="N64" s="51">
        <f t="shared" si="43"/>
        <v>36114.39524939953</v>
      </c>
      <c r="O64" s="45">
        <f t="shared" si="53"/>
        <v>36114.64524939953</v>
      </c>
      <c r="P64" s="46">
        <f>P63+L64+M64</f>
        <v>511.88598559314414</v>
      </c>
      <c r="Q64" s="46">
        <f t="shared" si="40"/>
        <v>21.32858273304767</v>
      </c>
      <c r="R64" s="2">
        <f t="shared" si="54"/>
        <v>0</v>
      </c>
      <c r="S64" s="2">
        <f t="shared" si="55"/>
        <v>0</v>
      </c>
      <c r="T64" s="68">
        <f t="shared" si="56"/>
        <v>1</v>
      </c>
      <c r="U64" s="2">
        <f t="shared" si="62"/>
        <v>0</v>
      </c>
      <c r="V64" s="68">
        <f t="shared" si="63"/>
        <v>0</v>
      </c>
      <c r="W64" s="33">
        <f t="shared" si="57"/>
        <v>1</v>
      </c>
      <c r="X64" s="34">
        <f t="shared" si="58"/>
        <v>1</v>
      </c>
      <c r="Y64" s="2">
        <f t="shared" si="59"/>
        <v>8</v>
      </c>
      <c r="Z64" s="2" t="str">
        <f t="shared" si="64"/>
        <v>N</v>
      </c>
      <c r="AA64" s="2">
        <f t="shared" si="64"/>
        <v>110</v>
      </c>
      <c r="AB64" s="2">
        <f t="shared" si="60"/>
        <v>0</v>
      </c>
      <c r="AC64" s="35">
        <f t="shared" si="61"/>
        <v>36114.39524939953</v>
      </c>
      <c r="AD64" s="47">
        <v>35174</v>
      </c>
      <c r="AE64" s="48">
        <f t="shared" si="65"/>
        <v>30.83263112785348</v>
      </c>
    </row>
    <row r="65" spans="1:31" ht="18">
      <c r="A65" s="23"/>
      <c r="B65" s="24" t="s">
        <v>61</v>
      </c>
      <c r="C65" s="3">
        <v>6</v>
      </c>
      <c r="D65" s="25">
        <v>49.1</v>
      </c>
      <c r="E65" s="109" t="s">
        <v>21</v>
      </c>
      <c r="F65" s="30">
        <v>81</v>
      </c>
      <c r="G65" s="25">
        <v>39</v>
      </c>
      <c r="H65" s="53" t="s">
        <v>22</v>
      </c>
      <c r="I65" s="53">
        <f t="shared" si="51"/>
      </c>
      <c r="J65" s="26">
        <f>180/PI()*60*ACOS((SIN(PI()/180*W64*(C64+D64/60))*SIN(PI()/180*W65*(C65+D65/60)))+(COS(PI()/180*W64*(C64+D64/60))*COS(PI()/180*W65*(C65+D65/60))*COS(PI()/180*(X65*(F65+G65/60)-X64*(F64+G64/60)))))</f>
        <v>1687.962503120435</v>
      </c>
      <c r="K65" s="27">
        <v>12.5</v>
      </c>
      <c r="L65" s="43">
        <f t="shared" si="52"/>
        <v>135.03700024963481</v>
      </c>
      <c r="M65" s="29">
        <f>IF(R65=1,12,IF(S65=1,4,IF(T65=1,6,IF(U65=1,8,IF(V65=1,5,1)))))-1</f>
        <v>0</v>
      </c>
      <c r="N65" s="51">
        <f>O64+L65/24</f>
        <v>36120.2717910766</v>
      </c>
      <c r="O65" s="45">
        <f t="shared" si="53"/>
        <v>36120.2717910766</v>
      </c>
      <c r="P65" s="46">
        <f>P64+L65+M65</f>
        <v>646.922985842779</v>
      </c>
      <c r="Q65" s="46">
        <f t="shared" si="40"/>
        <v>26.95512441011579</v>
      </c>
      <c r="R65" s="2">
        <f>IF(A65="R",1,0)</f>
        <v>0</v>
      </c>
      <c r="S65" s="2">
        <f>IF(A65="V",1,0)</f>
        <v>0</v>
      </c>
      <c r="T65" s="68">
        <f>IF(A65="R E",1,0)</f>
        <v>0</v>
      </c>
      <c r="U65" s="2">
        <f>IF(A65="S",1,0)</f>
        <v>0</v>
      </c>
      <c r="V65" s="68">
        <f>IF(A65="D",1,0)</f>
        <v>0</v>
      </c>
      <c r="W65" s="33">
        <f>IF(E65="N",1,-1)</f>
        <v>1</v>
      </c>
      <c r="X65" s="34">
        <f>IF(H65="W",1,-1)</f>
        <v>1</v>
      </c>
      <c r="Y65" s="2">
        <f>C65</f>
        <v>6</v>
      </c>
      <c r="Z65" s="2" t="str">
        <f>E65</f>
        <v>N</v>
      </c>
      <c r="AA65" s="2">
        <f>F65</f>
        <v>81</v>
      </c>
      <c r="AB65" s="2">
        <f>IF(R65=1,"R",IF(S65=1,"V",0))</f>
        <v>0</v>
      </c>
      <c r="AC65" s="35">
        <f>IF(R65=1,N65,IF(S65=1,N65,IF(T65=1,N65,IF(U65=1,N65,IF(V65=1,N65,0)))))</f>
        <v>0</v>
      </c>
      <c r="AD65" s="47">
        <v>35174</v>
      </c>
      <c r="AE65" s="48">
        <f>(AC65-AD65)/30.5</f>
        <v>-1153.2459016393443</v>
      </c>
    </row>
    <row r="66" spans="1:31" ht="18">
      <c r="A66" s="23"/>
      <c r="B66" s="24" t="s">
        <v>61</v>
      </c>
      <c r="C66" s="3">
        <v>7</v>
      </c>
      <c r="D66" s="25">
        <v>16.1</v>
      </c>
      <c r="E66" s="109" t="s">
        <v>21</v>
      </c>
      <c r="F66" s="30">
        <v>79</v>
      </c>
      <c r="G66" s="25">
        <v>45.5</v>
      </c>
      <c r="H66" s="53" t="s">
        <v>22</v>
      </c>
      <c r="I66" s="53">
        <f t="shared" si="51"/>
      </c>
      <c r="J66" s="26">
        <f>180/PI()*60*ACOS((SIN(PI()/180*W65*(C65+D65/60))*SIN(PI()/180*W66*(C66+D66/60)))+(COS(PI()/180*W65*(C65+D65/60))*COS(PI()/180*W66*(C66+D66/60))*COS(PI()/180*(X66*(F66+G66/60)-X65*(F65+G65/60)))))</f>
        <v>115.8338090950485</v>
      </c>
      <c r="K66" s="27">
        <v>12.5</v>
      </c>
      <c r="L66" s="43">
        <f t="shared" si="52"/>
        <v>9.26670472760388</v>
      </c>
      <c r="M66" s="29">
        <f>IF(R66=1,12,IF(S66=1,4,IF(T66=1,6,IF(U66=1,8,IF(V66=1,5,1)))))+24</f>
        <v>25</v>
      </c>
      <c r="N66" s="51">
        <f>O65+L66/24</f>
        <v>36120.65790377359</v>
      </c>
      <c r="O66" s="45">
        <f t="shared" si="53"/>
        <v>36121.69957044025</v>
      </c>
      <c r="P66" s="46">
        <f>P65+L66+M66</f>
        <v>681.1896905703828</v>
      </c>
      <c r="Q66" s="46">
        <f t="shared" si="40"/>
        <v>28.38290377376595</v>
      </c>
      <c r="R66" s="2">
        <f>IF(A66="R",1,0)</f>
        <v>0</v>
      </c>
      <c r="S66" s="2">
        <f>IF(A66="V",1,0)</f>
        <v>0</v>
      </c>
      <c r="T66" s="68">
        <f>IF(A66="R E",1,0)</f>
        <v>0</v>
      </c>
      <c r="U66" s="2">
        <f t="shared" si="62"/>
        <v>0</v>
      </c>
      <c r="V66" s="68">
        <f t="shared" si="63"/>
        <v>0</v>
      </c>
      <c r="W66" s="33">
        <f>IF(E66="N",1,-1)</f>
        <v>1</v>
      </c>
      <c r="X66" s="34">
        <f>IF(H66="W",1,-1)</f>
        <v>1</v>
      </c>
      <c r="Y66" s="2">
        <f>C66</f>
        <v>7</v>
      </c>
      <c r="Z66" s="2" t="str">
        <f>E66</f>
        <v>N</v>
      </c>
      <c r="AA66" s="2">
        <f>F66</f>
        <v>79</v>
      </c>
      <c r="AB66" s="2">
        <f>IF(R66=1,"R",IF(S66=1,"V",0))</f>
        <v>0</v>
      </c>
      <c r="AC66" s="35">
        <f>IF(R66=1,N66,IF(S66=1,N66,IF(T66=1,N66,IF(U66=1,N66,IF(V66=1,N66,0)))))</f>
        <v>0</v>
      </c>
      <c r="AD66" s="47">
        <v>35174</v>
      </c>
      <c r="AE66" s="48">
        <f t="shared" si="65"/>
        <v>-1153.2459016393443</v>
      </c>
    </row>
    <row r="67" spans="1:31" ht="18" customHeight="1">
      <c r="A67" s="23"/>
      <c r="B67" s="24" t="s">
        <v>60</v>
      </c>
      <c r="C67" s="110">
        <v>8</v>
      </c>
      <c r="D67" s="111">
        <v>57.3</v>
      </c>
      <c r="E67" s="112" t="s">
        <v>21</v>
      </c>
      <c r="F67" s="113">
        <v>79</v>
      </c>
      <c r="G67" s="111">
        <v>34.15</v>
      </c>
      <c r="H67" s="114" t="s">
        <v>22</v>
      </c>
      <c r="I67" s="53">
        <f t="shared" si="51"/>
      </c>
      <c r="J67" s="26">
        <f>180/PI()*60*ACOS((SIN(PI()/180*W66*(C66+D66/60))*SIN(PI()/180*W67*(C67+D67/60)))+(COS(PI()/180*W66*(C66+D66/60))*COS(PI()/180*W67*(C67+D67/60))*COS(PI()/180*(X67*(F67+G67/60)-X66*(F66+G66/60)))))</f>
        <v>101.8218442544612</v>
      </c>
      <c r="K67" s="27">
        <v>12.5</v>
      </c>
      <c r="L67" s="43">
        <f t="shared" si="52"/>
        <v>8.145747540356895</v>
      </c>
      <c r="M67" s="29">
        <f>IF(R67=1,12,IF(S67=1,4,IF(T67=1,6,IF(U67=1,8,IF(V67=1,5,1)))))-1</f>
        <v>0</v>
      </c>
      <c r="N67" s="51">
        <f>O66+L67/24</f>
        <v>36122.03897658776</v>
      </c>
      <c r="O67" s="45">
        <f t="shared" si="53"/>
        <v>36122.03897658776</v>
      </c>
      <c r="P67" s="46">
        <f>P66+L67+M67</f>
        <v>689.3354381107397</v>
      </c>
      <c r="Q67" s="46">
        <f t="shared" si="40"/>
        <v>28.72230992128082</v>
      </c>
      <c r="R67" s="2">
        <f t="shared" si="54"/>
        <v>0</v>
      </c>
      <c r="S67" s="2">
        <f t="shared" si="55"/>
        <v>0</v>
      </c>
      <c r="T67" s="68">
        <f t="shared" si="56"/>
        <v>0</v>
      </c>
      <c r="U67" s="2">
        <f t="shared" si="62"/>
        <v>0</v>
      </c>
      <c r="V67" s="68">
        <f t="shared" si="63"/>
        <v>0</v>
      </c>
      <c r="W67" s="33">
        <f t="shared" si="57"/>
        <v>1</v>
      </c>
      <c r="X67" s="34">
        <f t="shared" si="58"/>
        <v>1</v>
      </c>
      <c r="Y67" s="2">
        <f t="shared" si="59"/>
        <v>8</v>
      </c>
      <c r="Z67" s="2" t="str">
        <f t="shared" si="64"/>
        <v>N</v>
      </c>
      <c r="AA67" s="2">
        <f t="shared" si="64"/>
        <v>79</v>
      </c>
      <c r="AB67" s="2">
        <f t="shared" si="60"/>
        <v>0</v>
      </c>
      <c r="AC67" s="35">
        <f t="shared" si="61"/>
        <v>0</v>
      </c>
      <c r="AD67" s="47">
        <v>35174</v>
      </c>
      <c r="AE67" s="48">
        <f t="shared" si="65"/>
        <v>-1153.2459016393443</v>
      </c>
    </row>
    <row r="68" spans="1:23" ht="18.75">
      <c r="A68" s="69"/>
      <c r="B68" s="70"/>
      <c r="C68" s="71"/>
      <c r="D68" s="72"/>
      <c r="E68" s="73"/>
      <c r="F68" s="73"/>
      <c r="G68" s="72"/>
      <c r="H68" s="73"/>
      <c r="I68" s="33"/>
      <c r="J68" s="74"/>
      <c r="K68" s="75"/>
      <c r="L68" s="76"/>
      <c r="M68" s="77"/>
      <c r="N68" s="78"/>
      <c r="O68" s="78"/>
      <c r="P68" s="79"/>
      <c r="Q68" s="80"/>
      <c r="R68" s="81">
        <f>SUM(R9:R63)</f>
        <v>13</v>
      </c>
      <c r="S68" s="81">
        <f>SUM(S9:S63)</f>
        <v>2</v>
      </c>
      <c r="T68" s="81">
        <f>SUM(T9:T63)</f>
        <v>2</v>
      </c>
      <c r="U68" s="81">
        <f>SUM(U9:U63)</f>
        <v>0</v>
      </c>
      <c r="V68" s="81">
        <f>SUM(V9:V63)</f>
        <v>0</v>
      </c>
      <c r="W68" s="36"/>
    </row>
    <row r="69" spans="1:17" ht="18">
      <c r="A69" s="82"/>
      <c r="B69" s="124" t="s">
        <v>43</v>
      </c>
      <c r="C69" s="125"/>
      <c r="D69" s="83">
        <f>SUM(R9:R67)-13</f>
        <v>0</v>
      </c>
      <c r="E69" s="84"/>
      <c r="F69" s="85"/>
      <c r="G69" s="85"/>
      <c r="H69" s="85"/>
      <c r="I69" s="85"/>
      <c r="J69" s="85"/>
      <c r="K69" s="34"/>
      <c r="L69" s="34"/>
      <c r="M69" s="34"/>
      <c r="N69" s="34"/>
      <c r="O69" s="84"/>
      <c r="P69" s="85"/>
      <c r="Q69" s="85"/>
    </row>
    <row r="70" spans="1:17" ht="18">
      <c r="A70" s="82"/>
      <c r="B70" s="122" t="s">
        <v>51</v>
      </c>
      <c r="C70" s="123"/>
      <c r="D70" s="86">
        <f>SUM(R9:R67)-1</f>
        <v>12</v>
      </c>
      <c r="E70" s="84"/>
      <c r="F70" s="84"/>
      <c r="G70" s="85"/>
      <c r="H70" s="85"/>
      <c r="I70" s="85"/>
      <c r="J70" s="87"/>
      <c r="O70" s="84"/>
      <c r="P70" s="85"/>
      <c r="Q70" s="87"/>
    </row>
    <row r="71" spans="1:15" ht="18">
      <c r="A71" s="84"/>
      <c r="L71" s="126"/>
      <c r="M71" s="127"/>
      <c r="N71" s="88" t="s">
        <v>36</v>
      </c>
      <c r="O71" s="89" t="s">
        <v>37</v>
      </c>
    </row>
    <row r="72" spans="1:17" ht="18">
      <c r="A72" s="82"/>
      <c r="B72" s="124" t="s">
        <v>52</v>
      </c>
      <c r="C72" s="125"/>
      <c r="D72" s="83">
        <f>SUM(R9:R67)-6</f>
        <v>7</v>
      </c>
      <c r="E72" s="90"/>
      <c r="G72" s="91"/>
      <c r="H72" s="92" t="s">
        <v>5</v>
      </c>
      <c r="I72" s="6" t="s">
        <v>42</v>
      </c>
      <c r="J72" s="93"/>
      <c r="L72" s="128" t="s">
        <v>40</v>
      </c>
      <c r="M72" s="129"/>
      <c r="N72" s="94">
        <f>O35-N12+4</f>
        <v>11.708333333255723</v>
      </c>
      <c r="O72" s="95">
        <f>SUM(J16:J35)</f>
        <v>843.2929589703156</v>
      </c>
      <c r="Q72" s="96"/>
    </row>
    <row r="73" spans="1:15" ht="18">
      <c r="A73" s="84"/>
      <c r="B73" s="122" t="s">
        <v>53</v>
      </c>
      <c r="C73" s="123"/>
      <c r="D73" s="86">
        <f>SUM(R9:R67)-10</f>
        <v>3</v>
      </c>
      <c r="E73" s="97"/>
      <c r="F73" s="98"/>
      <c r="G73" s="91"/>
      <c r="H73" s="21" t="s">
        <v>26</v>
      </c>
      <c r="I73" s="18" t="s">
        <v>26</v>
      </c>
      <c r="L73" s="128" t="s">
        <v>41</v>
      </c>
      <c r="M73" s="119"/>
      <c r="N73" s="94">
        <f>O61-N37-1</f>
        <v>10.578972102608532</v>
      </c>
      <c r="O73" s="95">
        <f>SUM(J38:J63)</f>
        <v>2031.1916308096581</v>
      </c>
    </row>
    <row r="74" spans="1:18" ht="18">
      <c r="A74" s="84"/>
      <c r="B74" s="99"/>
      <c r="E74" s="97"/>
      <c r="F74" s="98"/>
      <c r="G74" s="100"/>
      <c r="H74" s="101">
        <f>SUM(L12:L67)</f>
        <v>474.31755392604805</v>
      </c>
      <c r="I74" s="102">
        <f>SUM(M12:M63)</f>
        <v>246</v>
      </c>
      <c r="L74" s="134" t="s">
        <v>38</v>
      </c>
      <c r="M74" s="119"/>
      <c r="N74" s="103">
        <f>(N67-O63)+(N12-O9)+(N37-O35)-1</f>
        <v>10.601671151911432</v>
      </c>
      <c r="O74" s="104">
        <f>SUM(J12,J37,J67)</f>
        <v>1010.6885220801497</v>
      </c>
      <c r="R74" s="12" t="s">
        <v>44</v>
      </c>
    </row>
    <row r="75" spans="1:18" ht="18">
      <c r="A75" s="84"/>
      <c r="B75" s="124" t="s">
        <v>54</v>
      </c>
      <c r="C75" s="125"/>
      <c r="D75" s="83">
        <f>SUM(T9:T67)-1</f>
        <v>2</v>
      </c>
      <c r="E75" s="105"/>
      <c r="F75" s="98"/>
      <c r="G75" s="98"/>
      <c r="H75" s="98"/>
      <c r="I75" s="97"/>
      <c r="L75" s="130" t="s">
        <v>39</v>
      </c>
      <c r="M75" s="121"/>
      <c r="N75" s="106">
        <f>SUM(N72:N74)</f>
        <v>32.88897658777569</v>
      </c>
      <c r="O75" s="107">
        <f>SUM(O72:O74)</f>
        <v>3885.1731118601233</v>
      </c>
      <c r="R75" s="101">
        <f>SUM(J12:J67)</f>
        <v>5928.969424075605</v>
      </c>
    </row>
    <row r="76" spans="1:9" ht="18">
      <c r="A76" s="84"/>
      <c r="B76" s="132" t="s">
        <v>50</v>
      </c>
      <c r="C76" s="133"/>
      <c r="D76" s="108">
        <f>SUM(S9:S67)</f>
        <v>2</v>
      </c>
      <c r="E76" s="97"/>
      <c r="F76" s="98"/>
      <c r="G76" s="98"/>
      <c r="H76" s="97"/>
      <c r="I76" s="97"/>
    </row>
    <row r="77" spans="1:15" ht="18">
      <c r="A77" s="84"/>
      <c r="B77" s="132" t="s">
        <v>56</v>
      </c>
      <c r="C77" s="133"/>
      <c r="D77" s="108">
        <v>0</v>
      </c>
      <c r="F77" s="119"/>
      <c r="G77" s="131"/>
      <c r="H77" s="131"/>
      <c r="I77" s="131"/>
      <c r="J77" s="131"/>
      <c r="K77" s="131"/>
      <c r="L77" s="131"/>
      <c r="M77" s="131"/>
      <c r="N77" s="131"/>
      <c r="O77" s="131"/>
    </row>
    <row r="78" spans="1:15" ht="18">
      <c r="A78" s="84"/>
      <c r="B78" s="122" t="s">
        <v>57</v>
      </c>
      <c r="C78" s="123"/>
      <c r="D78" s="86">
        <v>0</v>
      </c>
      <c r="F78" s="120" t="s">
        <v>46</v>
      </c>
      <c r="G78" s="131"/>
      <c r="H78" s="131"/>
      <c r="I78" s="131"/>
      <c r="J78" s="131"/>
      <c r="K78" s="131"/>
      <c r="L78" s="131"/>
      <c r="M78" s="131"/>
      <c r="N78" s="131"/>
      <c r="O78" s="131"/>
    </row>
    <row r="81" spans="5:15" ht="18"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</sheetData>
  <mergeCells count="21">
    <mergeCell ref="B75:C75"/>
    <mergeCell ref="L75:M75"/>
    <mergeCell ref="B73:C73"/>
    <mergeCell ref="F78:O78"/>
    <mergeCell ref="B78:C78"/>
    <mergeCell ref="B77:C77"/>
    <mergeCell ref="L73:M73"/>
    <mergeCell ref="L74:M74"/>
    <mergeCell ref="F77:O77"/>
    <mergeCell ref="B76:C76"/>
    <mergeCell ref="A6:Q6"/>
    <mergeCell ref="B70:C70"/>
    <mergeCell ref="B72:C72"/>
    <mergeCell ref="B69:C69"/>
    <mergeCell ref="L71:M71"/>
    <mergeCell ref="L72:M72"/>
    <mergeCell ref="A5:Q5"/>
    <mergeCell ref="A1:Q1"/>
    <mergeCell ref="A4:Q4"/>
    <mergeCell ref="A3:Q3"/>
    <mergeCell ref="A2:Q2"/>
  </mergeCells>
  <printOptions horizontalCentered="1" verticalCentered="1"/>
  <pageMargins left="0.65" right="0.72" top="0.42" bottom="0.29" header="0.3" footer="0.26"/>
  <pageSetup horizontalDpi="300" verticalDpi="300" orientation="landscape" scale="43" r:id="rId3"/>
  <headerFooter alignWithMargins="0">
    <oddHeader>&amp;L&amp;"Geneva,Bold"&amp;D&amp;R&amp;"Geneva,Bold"RB-00-09  Appendix A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Linda Stratton</cp:lastModifiedBy>
  <cp:lastPrinted>2000-09-19T21:15:13Z</cp:lastPrinted>
  <dcterms:created xsi:type="dcterms:W3CDTF">1998-03-17T01:23:51Z</dcterms:created>
  <dcterms:modified xsi:type="dcterms:W3CDTF">2003-10-17T19:50:55Z</dcterms:modified>
  <cp:category/>
  <cp:version/>
  <cp:contentType/>
  <cp:contentStatus/>
</cp:coreProperties>
</file>